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Anleitung" state="visible" r:id="rId4"/>
    <sheet sheetId="2" name="Fonds" state="visible" r:id="rId5"/>
    <sheet sheetId="3" name="Cashflows" state="visible" r:id="rId6"/>
    <sheet sheetId="4" name="Übersicht" state="visible" r:id="rId7"/>
  </sheets>
  <calcPr calcId="171027" fullCalcOnLoad="1"/>
</workbook>
</file>

<file path=xl/sharedStrings.xml><?xml version="1.0" encoding="utf-8"?>
<sst xmlns="http://schemas.openxmlformats.org/spreadsheetml/2006/main" count="165" uniqueCount="95">
  <si>
    <t>Kapitalabruf-Tracker – Vorlage</t>
  </si>
  <si>
    <t>Version 1.0, Oktober 2026. Kostenlos von Zahlenwerk, tools.zahlenwerk.studio/de/kapitalabruf-vorlage</t>
  </si>
  <si>
    <t>Wofür diese Vorlage ist</t>
  </si>
  <si>
    <t>Sie führen hier Ihre Fondszusagen und jede Abruf- und Ausschüttungsmitteilung als eine Zeile. Die Übersicht rechnet daraus je Fonds, je Gesellschaft und je Währung, wie viel abgerufen und ausgeschüttet wurde, welcher Teil recallable ist, wie hoch die offene Zusage ist und wann der nächste angekündigte Abruf fällig wird.</t>
  </si>
  <si>
    <t>Die Rechnung</t>
  </si>
  <si>
    <t>Offene Zusage  =  Zusage  −  Abrufe (auf die Zusage angerechnet)  +  recallable Ausschüttungen</t>
  </si>
  <si>
    <t>Gebühren, die zusätzlich zur Zusage gezahlt werden, und der Zinsausgleich bei einem späteren Closing sind Liquidität, die abfließt. Die offene Zusage verringern sie nicht. Die Übersicht weist sie deshalb in einer eigenen Spalte aus.</t>
  </si>
  <si>
    <t>So nutzen Sie die Vorlage</t>
  </si>
  <si>
    <t>1.  Blatt „Fonds“: eine Zeile je Zusage, mit Fondsname, Gesellschaft bzw. Halter, Jahrgang, Währung und gezeichneter Zusage. Der Fondsname muss eindeutig sein. Hält eine zweite Gesellschaft denselben Fonds, legen Sie eine zweite Zeile mit unterscheidbarem Namen an, etwa „Fonds III (Holding)“ und „Fonds III (Stiftung)“.</t>
  </si>
  <si>
    <t>2.  Blatt „Cashflows“: eine Zeile je Mitteilung. Den Fonds wählen Sie aus der Liste, die aus dem Blatt „Fonds“ kommt. Beträge immer positiv eintragen; ob Geld abfließt oder zurückkommt, ergibt sich aus der Art.</t>
  </si>
  <si>
    <t>3.  Art wählen:</t>
  </si>
  <si>
    <t>–  „Abruf“: alles, was auf die Zusage angerechnet wird. Dazu gehören Gebühren, die laut LPA gegen die Zusage abgerufen werden, und bei einem späteren Closing die Nachzahlung des bisher abgerufenen Kapitals.</t>
  </si>
  <si>
    <t>–  „Ausschüttung“: der ausgeschüttete Betrag. In „davon recallable“ den Teil, den die Ausschüttungsmitteilung als wieder abrufbar kennzeichnet. Dieser Teil erhöht die offene Zusage wieder.</t>
  </si>
  <si>
    <t>–  „Gebühr außerhalb der Zusage“: Gebühren und Kosten, die zusätzlich zur Zusage gezahlt werden.</t>
  </si>
  <si>
    <t>–  „Ausgleichszins“: der Zinsausgleich, den ein Investor in einem späteren Closing zusätzlich zahlt. Er wird in der Regel nicht auf die Zusage angerechnet.</t>
  </si>
  <si>
    <t>4.  Status: „Angekündigt“ für eine Mitteilung, deren Zahlung noch aussteht, „Bezahlt“ für einen gezahlten Abruf, „Erhalten“ für eine erhaltene Ausschüttung. Ein angekündigter Abruf zählt bereits als abgerufen, denn mit der Mitteilung ist die Zusage gezogen. Er erscheint zusätzlich unter „angekündigt, nicht bezahlt“ und mit seiner Fälligkeit unter „nächste Fälligkeit“. Überfällige Fälligkeiten werden rot. „Bereitzuhalten“ ist beides zusammen: was noch abgerufen werden kann, plus was angekündigt und noch nicht bezahlt ist.</t>
  </si>
  <si>
    <t>5.  Blatt „Übersicht“: Die Tabellen je Währung und je Fonds füllen sich selbst. In der Tabelle je Gesellschaft tragen Sie Gesellschaft und Währung einmal ein. Die Prüfzeile darunter meldet, wenn ein Fonds keiner Zeile zugeordnet ist.</t>
  </si>
  <si>
    <t>Beispieldaten</t>
  </si>
  <si>
    <t>Gelb hinterlegte Zeilen mit „Beispiel“ im Namen zeigen, wie die Blätter gefüllt aussehen. Überschreiben Sie sie oder löschen Sie die Zeilen, bevor Sie eigene Zahlen eintragen. Die Formeln brechen dabei nicht.</t>
  </si>
  <si>
    <t>Was die Vorlage nicht abbildet</t>
  </si>
  <si>
    <t>–  Recycling-Klauseln unterscheiden sich. Manche LPAs deckeln den recallable Betrag, erlauben Wiederabrufe nur in der Investitionsperiode oder nur für Kapitalrückzahlungen. Die Vorlage rechnet alles, was Sie als recallable eintragen, in die offene Zusage zurück. Maßgeblich ist Ihr LPA.</t>
  </si>
  <si>
    <t>–  Keine Währungsumrechnung. Summen gibt es je Währung, nie über Währungen hinweg.</t>
  </si>
  <si>
    <t>–  Keine Prognose künftiger Abrufe über die angekündigten hinaus und keine Performance-Kennzahlen. Für IRR, TVPI und DPI gibt es den kostenlosen Rechner auf tools.zahlenwerk.studio.</t>
  </si>
  <si>
    <t>–  Die Spalte „nächste Fälligkeit“ nutzt MINWENNS (MINIFS) und braucht Excel 2019, Microsoft 365, LibreOffice oder Google Sheets.</t>
  </si>
  <si>
    <t>Hinweis</t>
  </si>
  <si>
    <t>Diese Vorlage ist ein Rechenhilfsmittel und keine Steuer-, Rechts- oder Anlageberatung. Maßgeblich sind der Gesellschaftsvertrag (LPA) und die Mitteilungen Ihres Fonds. Prüfen Sie die Ergebnisse, bevor Sie Entscheidungen darauf stützen.</t>
  </si>
  <si>
    <t>Mehr dazu</t>
  </si>
  <si>
    <t>Offene Kapitalzusagen planen (Artikel)</t>
  </si>
  <si>
    <t>Kostenloser Rechner für offene Zusagen</t>
  </si>
  <si>
    <t>Diese Vorlage herunterladen</t>
  </si>
  <si>
    <t>Fonds und Zusagen</t>
  </si>
  <si>
    <t>Eine Zeile je Zusage. Der Fondsname muss eindeutig sein, er verbindet dieses Blatt mit den Cashflows.</t>
  </si>
  <si>
    <t>Fonds</t>
  </si>
  <si>
    <t>Gesellschaft / Halter</t>
  </si>
  <si>
    <t>Jahrgang</t>
  </si>
  <si>
    <t>Währung</t>
  </si>
  <si>
    <t>Zusage</t>
  </si>
  <si>
    <t>Anmerkung (z. B. Recycling-Regel laut LPA)</t>
  </si>
  <si>
    <t>Beispiel Buyout Fonds III</t>
  </si>
  <si>
    <t>Beispiel Holding GmbH</t>
  </si>
  <si>
    <t>EUR</t>
  </si>
  <si>
    <t>Recycling bis Ende der Investitionsperiode laut LPA §8</t>
  </si>
  <si>
    <t>Beispiel Growth Fonds IV</t>
  </si>
  <si>
    <t>USD</t>
  </si>
  <si>
    <t>Gezeichnet im zweiten Closing</t>
  </si>
  <si>
    <t>Beispiel Venture Fonds II</t>
  </si>
  <si>
    <t>Beispiel Vermögensverwaltung GmbH</t>
  </si>
  <si>
    <t>Cashflows</t>
  </si>
  <si>
    <t>Eine Zeile je Mitteilung. Beträge positiv eintragen, die Richtung ergibt sich aus der Art.</t>
  </si>
  <si>
    <t>Datum</t>
  </si>
  <si>
    <t>Art</t>
  </si>
  <si>
    <t>Betrag</t>
  </si>
  <si>
    <t>davon recallable</t>
  </si>
  <si>
    <t>Fälligkeit</t>
  </si>
  <si>
    <t>Status</t>
  </si>
  <si>
    <t>Quelle / Dokument</t>
  </si>
  <si>
    <t>Abruf</t>
  </si>
  <si>
    <t>Bezahlt</t>
  </si>
  <si>
    <t>Abrufmitteilung Nr. 1</t>
  </si>
  <si>
    <t>Gebühr außerhalb der Zusage</t>
  </si>
  <si>
    <t>Abrufmitteilung Nr. 1, Management Fee</t>
  </si>
  <si>
    <t>Abrufmitteilung Nr. 2</t>
  </si>
  <si>
    <t>Ausschüttung</t>
  </si>
  <si>
    <t>Erhalten</t>
  </si>
  <si>
    <t>Ausschüttungsmitteilung Nr. 1</t>
  </si>
  <si>
    <t>Angekündigt</t>
  </si>
  <si>
    <t>Abrufmitteilung Nr. 3</t>
  </si>
  <si>
    <t>Nachzahlung zweites Closing</t>
  </si>
  <si>
    <t>Ausgleichszins</t>
  </si>
  <si>
    <t>Zinsausgleich zweites Closing</t>
  </si>
  <si>
    <t>Abrufmitteilung Nr. 4</t>
  </si>
  <si>
    <t>Abrufmitteilung Nr. 5</t>
  </si>
  <si>
    <t>Summe Abrufe 2019 bis 2023 laut Kapitalkontoauszug</t>
  </si>
  <si>
    <t>Ausschüttungsmitteilung Nr. 6</t>
  </si>
  <si>
    <t>Ausschüttungsmitteilung Nr. 7</t>
  </si>
  <si>
    <t>Kostenabruf außerhalb der Zusage</t>
  </si>
  <si>
    <t>Übersicht</t>
  </si>
  <si>
    <t>Alle Beträge in der Währung des Fonds. Grau hinterlegte Zellen sind Formeln.</t>
  </si>
  <si>
    <t>Je Währung</t>
  </si>
  <si>
    <t>Summen über alle Fonds einer Währung. Für eine weitere Währung den Code in eine freie Zeile schreiben.</t>
  </si>
  <si>
    <t/>
  </si>
  <si>
    <t>Anzahl Fonds</t>
  </si>
  <si>
    <t>Abgerufen (auf die Zusage)</t>
  </si>
  <si>
    <t>Außerhalb der Zusage gezahlt</t>
  </si>
  <si>
    <t>Ausgeschüttet</t>
  </si>
  <si>
    <t>Offene Zusage</t>
  </si>
  <si>
    <t>Angekündigt, nicht bezahlt</t>
  </si>
  <si>
    <t>Nächste Fälligkeit</t>
  </si>
  <si>
    <t>Bereitzuhalten (offen + angekündigt)</t>
  </si>
  <si>
    <t>GBP</t>
  </si>
  <si>
    <t>CHF</t>
  </si>
  <si>
    <t>Je Gesellschaft</t>
  </si>
  <si>
    <t>Gesellschaft und Währung je Zeile einmal eintragen (weiße Zellen). Hält eine Gesellschaft Fonds in zwei Währungen, braucht sie zwei Zeilen.</t>
  </si>
  <si>
    <t>Je Fonds</t>
  </si>
  <si>
    <t>Füllt sich aus den Blättern „Fonds“ und „Cashflows“. Nichts eintragen.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</si>
</sst>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Red]-#,##0.00"/>
    <numFmt numFmtId="165" formatCode="dd.mm.yyyy"/>
  </numFmts>
  <fonts count="12" x14ac:knownFonts="1">
    <font>
      <color theme="1"/>
      <family val="2"/>
      <scheme val="minor"/>
      <sz val="11"/>
      <name val="Calibri"/>
    </font>
    <font>
      <b/>
      <color rgb="FF111111"/>
      <sz val="20"/>
      <name val="Inter"/>
    </font>
    <font>
      <color rgb="FF5C657A"/>
      <sz val="10"/>
      <name val="Inter"/>
    </font>
    <font>
      <b/>
      <color rgb="FF111111"/>
      <sz val="13"/>
      <name val="Inter"/>
    </font>
    <font>
      <color rgb="FF111111"/>
      <sz val="11"/>
      <name val="Inter"/>
    </font>
    <font>
      <b/>
      <color rgb="FF111111"/>
      <sz val="12"/>
      <name val="Inter"/>
    </font>
    <font>
      <u/>
      <color rgb="FF0F7A63"/>
      <sz val="11"/>
      <name val="Inter"/>
    </font>
    <font>
      <b/>
      <color rgb="FF111111"/>
      <sz val="16"/>
      <name val="Inter"/>
    </font>
    <font>
      <b/>
      <color rgb="FFFFFFFF"/>
      <sz val="10"/>
      <name val="Inter"/>
    </font>
    <font>
      <color rgb="FF111111"/>
      <sz val="10"/>
      <name val="Inter"/>
    </font>
    <font>
      <b/>
      <color rgb="FF111111"/>
      <sz val="10"/>
      <name val="Inter"/>
    </font>
    <font>
      <i/>
      <color rgb="FF5C657A"/>
      <sz val="10"/>
      <name val="Inter"/>
    </font>
  </fonts>
  <fills count="6">
    <fill>
      <patternFill patternType="none"/>
    </fill>
    <fill>
      <patternFill patternType="gray125"/>
    </fill>
    <fill>
      <patternFill patternType="solid">
        <fgColor rgb="FFFDF9E7"/>
      </patternFill>
    </fill>
    <fill>
      <patternFill patternType="solid">
        <fgColor rgb="FF111111"/>
      </patternFill>
    </fill>
    <fill>
      <patternFill patternType="solid">
        <fgColor rgb="FFFFFFFF"/>
      </patternFill>
    </fill>
    <fill>
      <patternFill patternType="solid">
        <fgColor rgb="FFF3F5F8"/>
      </patternFill>
    </fill>
  </fills>
  <borders count="2">
    <border>
      <left/>
      <right/>
      <top/>
      <bottom/>
      <diagonal/>
    </border>
    <border>
      <left style="thin">
        <color rgb="FFE4E8EF"/>
      </left>
      <right style="thin">
        <color rgb="FFE4E8EF"/>
      </right>
      <top style="thin">
        <color rgb="FFE4E8EF"/>
      </top>
      <bottom style="thin">
        <color rgb="FFE4E8EF"/>
      </bottom>
      <diagonal/>
    </border>
  </borders>
  <cellStyleXfs count="1">
    <xf numFmtId="0" fontId="0" fillId="0" borderId="0"/>
  </cellStyleXfs>
  <cellXfs count="2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2" borderId="0" xfId="0" applyFont="1" applyFill="1" applyAlignment="1">
      <alignment vertical="center" indent="1"/>
    </xf>
    <xf numFmtId="0" fontId="4" fillId="0" borderId="0" xfId="0" applyFont="1" applyAlignment="1">
      <alignment vertical="top" wrapText="1" indent="3"/>
    </xf>
    <xf numFmtId="0" fontId="4" fillId="0" borderId="0" xfId="0" applyFont="1" applyAlignment="1">
      <alignment vertical="top" wrapText="1" indent="1"/>
    </xf>
    <xf numFmtId="0" fontId="6" fillId="0" borderId="0" xfId="0" applyFont="1" applyAlignment="1">
      <alignment vertical="top" wrapText="1"/>
    </xf>
    <xf numFmtId="0" fontId="7" fillId="0" borderId="0" xfId="0" applyFont="1"/>
    <xf numFmtId="0" fontId="2" fillId="0" borderId="0" xfId="0" applyFont="1"/>
    <xf numFmtId="0" fontId="8" fillId="3" borderId="1" xfId="0" applyFont="1" applyFill="1" applyBorder="1" applyAlignment="1">
      <alignment vertical="center" wrapText="1"/>
    </xf>
    <xf numFmtId="0" fontId="9" fillId="2" borderId="1" xfId="0" applyFont="1" applyFill="1" applyBorder="1"/>
    <xf numFmtId="1" fontId="9" fillId="2" borderId="1" xfId="0" applyNumberFormat="1" applyFont="1" applyFill="1" applyBorder="1" applyAlignment="1">
      <alignment horizontal="left"/>
    </xf>
    <xf numFmtId="164" fontId="9" fillId="2" borderId="1" xfId="0" applyNumberFormat="1" applyFont="1" applyFill="1" applyBorder="1"/>
    <xf numFmtId="0" fontId="9" fillId="4" borderId="1" xfId="0" applyFont="1" applyFill="1" applyBorder="1"/>
    <xf numFmtId="1" fontId="9" fillId="4" borderId="1" xfId="0" applyNumberFormat="1" applyFont="1" applyFill="1" applyBorder="1" applyAlignment="1">
      <alignment horizontal="left"/>
    </xf>
    <xf numFmtId="164" fontId="9" fillId="4" borderId="1" xfId="0" applyNumberFormat="1" applyFont="1" applyFill="1" applyBorder="1"/>
    <xf numFmtId="165" fontId="9" fillId="2" borderId="1" xfId="0" applyNumberFormat="1" applyFont="1" applyFill="1" applyBorder="1"/>
    <xf numFmtId="165" fontId="9" fillId="4" borderId="1" xfId="0" applyNumberFormat="1" applyFont="1" applyFill="1" applyBorder="1"/>
    <xf numFmtId="0" fontId="3" fillId="0" borderId="0" xfId="0" applyFont="1"/>
    <xf numFmtId="0" fontId="10" fillId="4" borderId="1" xfId="0" applyFont="1" applyFill="1" applyBorder="1"/>
    <xf numFmtId="0" fontId="9" fillId="5" borderId="1" xfId="0" applyFont="1" applyFill="1" applyBorder="1"/>
    <xf numFmtId="0" fontId="9" fillId="5" borderId="1" xfId="0" applyFont="1" applyFill="1" applyBorder="1" applyAlignment="1">
      <alignment horizontal="right"/>
    </xf>
    <xf numFmtId="164" fontId="9" fillId="5" borderId="1" xfId="0" applyNumberFormat="1" applyFont="1" applyFill="1" applyBorder="1"/>
    <xf numFmtId="164" fontId="10" fillId="5" borderId="1" xfId="0" applyNumberFormat="1" applyFont="1" applyFill="1" applyBorder="1"/>
    <xf numFmtId="165" fontId="9" fillId="5" borderId="1" xfId="0" applyNumberFormat="1" applyFont="1" applyFill="1" applyBorder="1"/>
    <xf numFmtId="0" fontId="11" fillId="0" borderId="0" xfId="0" applyFont="1"/>
  </cellXfs>
  <cellStyles count="1">
    <cellStyle name="Normal" xfId="0" builtinId="0"/>
  </cellStyles>
  <dxfs count="8">
    <dxf>
      <fill>
        <patternFill patternType="solid">
          <bgColor rgb="FFF2B8B0"/>
        </patternFill>
      </fill>
    </dxf>
    <dxf>
      <font>
        <b/>
        <color rgb="FFC0392B"/>
      </font>
    </dxf>
    <dxf>
      <fill>
        <patternFill patternType="solid">
          <bgColor rgb="FFF2B8B0"/>
        </patternFill>
      </fill>
    </dxf>
    <dxf>
      <fill>
        <patternFill patternType="solid">
          <bgColor rgb="FFF2B8B0"/>
        </patternFill>
      </fill>
    </dxf>
    <dxf>
      <fill>
        <patternFill patternType="solid">
          <bgColor rgb="FFF2B8B0"/>
        </patternFill>
      </fill>
    </dxf>
    <dxf>
      <font>
        <b/>
        <color rgb="FFC0392B"/>
      </font>
    </dxf>
    <dxf>
      <font>
        <b/>
        <color rgb="FFC0392B"/>
      </font>
    </dxf>
    <dxf>
      <font>
        <b/>
        <color rgb="FFC0392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zahlenwerk.studio/de/blog/unfunded-commitments-liquidity-planning" TargetMode="External"/><Relationship Id="rId2" Type="http://schemas.openxmlformats.org/officeDocument/2006/relationships/hyperlink" Target="https://tools.zahlenwerk.studio/de/capital-call-tracker" TargetMode="External"/><Relationship Id="rId3" Type="http://schemas.openxmlformats.org/officeDocument/2006/relationships/hyperlink" Target="https://tools.zahlenwerk.studio/de/kapitalabruf-vorl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B38"/>
  <sheetViews>
    <sheetView workbookViewId="0" showGridLines="0"/>
  </sheetViews>
  <sheetFormatPr defaultRowHeight="16" outlineLevelRow="0" outlineLevelCol="0" x14ac:dyDescent="55" customHeight="1"/>
  <cols>
    <col min="1" max="1" width="3" customWidth="1"/>
    <col min="2" max="2" width="110" customWidth="1"/>
  </cols>
  <sheetData>
    <row r="2" ht="30" customHeight="1" spans="2:2" x14ac:dyDescent="0.25">
      <c r="B2" s="1" t="s">
        <v>0</v>
      </c>
    </row>
    <row r="3" spans="2:2" x14ac:dyDescent="0.25">
      <c r="B3" s="2" t="s">
        <v>1</v>
      </c>
    </row>
    <row r="4" spans="2:2" x14ac:dyDescent="0.25">
      <c r="B4" s="3"/>
    </row>
    <row r="5" spans="2:2" x14ac:dyDescent="0.25">
      <c r="B5" s="4" t="s">
        <v>2</v>
      </c>
    </row>
    <row r="6" ht="64" customHeight="1" spans="2:2" x14ac:dyDescent="0.25">
      <c r="B6" s="5" t="s">
        <v>3</v>
      </c>
    </row>
    <row r="7" spans="2:2" x14ac:dyDescent="0.25">
      <c r="B7" s="3"/>
    </row>
    <row r="8" spans="2:2" x14ac:dyDescent="0.25">
      <c r="B8" s="4" t="s">
        <v>4</v>
      </c>
    </row>
    <row r="9" ht="24" customHeight="1" spans="2:2" x14ac:dyDescent="0.25">
      <c r="B9" s="6" t="s">
        <v>5</v>
      </c>
    </row>
    <row r="10" ht="49" customHeight="1" spans="2:2" x14ac:dyDescent="0.25">
      <c r="B10" s="5" t="s">
        <v>6</v>
      </c>
    </row>
    <row r="11" spans="2:2" x14ac:dyDescent="0.25">
      <c r="B11" s="3"/>
    </row>
    <row r="12" spans="2:2" x14ac:dyDescent="0.25">
      <c r="B12" s="4" t="s">
        <v>7</v>
      </c>
    </row>
    <row r="13" ht="64" customHeight="1" spans="2:2" x14ac:dyDescent="0.25">
      <c r="B13" s="5" t="s">
        <v>8</v>
      </c>
    </row>
    <row r="14" ht="49" customHeight="1" spans="2:2" x14ac:dyDescent="0.25">
      <c r="B14" s="5" t="s">
        <v>9</v>
      </c>
    </row>
    <row r="15" ht="19" customHeight="1" spans="2:2" x14ac:dyDescent="0.25">
      <c r="B15" s="5" t="s">
        <v>10</v>
      </c>
    </row>
    <row r="16" ht="49" customHeight="1" spans="2:2" x14ac:dyDescent="0.25">
      <c r="B16" s="7" t="s">
        <v>11</v>
      </c>
    </row>
    <row r="17" ht="34" customHeight="1" spans="2:2" x14ac:dyDescent="0.25">
      <c r="B17" s="7" t="s">
        <v>12</v>
      </c>
    </row>
    <row r="18" ht="19" customHeight="1" spans="2:2" x14ac:dyDescent="0.25">
      <c r="B18" s="7" t="s">
        <v>13</v>
      </c>
    </row>
    <row r="19" ht="34" customHeight="1" spans="2:2" x14ac:dyDescent="0.25">
      <c r="B19" s="7" t="s">
        <v>14</v>
      </c>
    </row>
    <row r="20" ht="94" customHeight="1" spans="2:2" x14ac:dyDescent="0.25">
      <c r="B20" s="5" t="s">
        <v>15</v>
      </c>
    </row>
    <row r="21" ht="49" customHeight="1" spans="2:2" x14ac:dyDescent="0.25">
      <c r="B21" s="5" t="s">
        <v>16</v>
      </c>
    </row>
    <row r="22" spans="2:2" x14ac:dyDescent="0.25">
      <c r="B22" s="3"/>
    </row>
    <row r="23" spans="2:2" x14ac:dyDescent="0.25">
      <c r="B23" s="4" t="s">
        <v>17</v>
      </c>
    </row>
    <row r="24" ht="49" customHeight="1" spans="2:2" x14ac:dyDescent="0.25">
      <c r="B24" s="5" t="s">
        <v>18</v>
      </c>
    </row>
    <row r="25" spans="2:2" x14ac:dyDescent="0.25">
      <c r="B25" s="3"/>
    </row>
    <row r="26" spans="2:2" x14ac:dyDescent="0.25">
      <c r="B26" s="4" t="s">
        <v>19</v>
      </c>
    </row>
    <row r="27" ht="49" customHeight="1" spans="2:2" x14ac:dyDescent="0.25">
      <c r="B27" s="8" t="s">
        <v>20</v>
      </c>
    </row>
    <row r="28" ht="19" customHeight="1" spans="2:2" x14ac:dyDescent="0.25">
      <c r="B28" s="8" t="s">
        <v>21</v>
      </c>
    </row>
    <row r="29" ht="34" customHeight="1" spans="2:2" x14ac:dyDescent="0.25">
      <c r="B29" s="8" t="s">
        <v>22</v>
      </c>
    </row>
    <row r="30" ht="34" customHeight="1" spans="2:2" x14ac:dyDescent="0.25">
      <c r="B30" s="8" t="s">
        <v>23</v>
      </c>
    </row>
    <row r="31" spans="2:2" x14ac:dyDescent="0.25">
      <c r="B31" s="3"/>
    </row>
    <row r="32" spans="2:2" x14ac:dyDescent="0.25">
      <c r="B32" s="4" t="s">
        <v>24</v>
      </c>
    </row>
    <row r="33" ht="49" customHeight="1" spans="2:2" x14ac:dyDescent="0.25">
      <c r="B33" s="5" t="s">
        <v>25</v>
      </c>
    </row>
    <row r="34" spans="2:2" x14ac:dyDescent="0.25">
      <c r="B34" s="3"/>
    </row>
    <row r="35" spans="2:2" x14ac:dyDescent="0.25">
      <c r="B35" s="4" t="s">
        <v>26</v>
      </c>
    </row>
    <row r="36" spans="2:2" x14ac:dyDescent="0.25">
      <c r="B36" s="9" t="s">
        <v>27</v>
      </c>
    </row>
    <row r="37" spans="2:2" x14ac:dyDescent="0.25">
      <c r="B37" s="9" t="s">
        <v>28</v>
      </c>
    </row>
    <row r="38" spans="2:2" x14ac:dyDescent="0.25">
      <c r="B38" s="9" t="s">
        <v>29</v>
      </c>
    </row>
  </sheetData>
  <hyperlinks>
    <hyperlink ref="B36" r:id="rId1"/>
    <hyperlink ref="B37" r:id="rId2"/>
    <hyperlink ref="B38" r:id="rId3"/>
  </hyperlinks>
  <pageSetup paperSize="9" orientation="landscape"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4"/>
  <sheetViews>
    <sheetView workbookViewId="0">
      <pane xSplit="1" ySplit="4" topLeftCell="B5" activePane="bottomRight" state="frozen"/>
      <selection pane="bottomRight"/>
    </sheetView>
  </sheetViews>
  <sheetFormatPr defaultRowHeight="16" outlineLevelRow="0" outlineLevelCol="0" x14ac:dyDescent="55" customHeight="1"/>
  <cols>
    <col min="1" max="1" width="38" customWidth="1"/>
    <col min="2" max="2" width="34" customWidth="1"/>
    <col min="3" max="4" width="11" customWidth="1"/>
    <col min="5" max="5" width="18" customWidth="1"/>
    <col min="6" max="6" width="52" customWidth="1"/>
  </cols>
  <sheetData>
    <row r="1" ht="26" customHeight="1" spans="1:1" x14ac:dyDescent="0.25">
      <c r="A1" s="10" t="s">
        <v>30</v>
      </c>
    </row>
    <row r="2" spans="1:1" x14ac:dyDescent="0.25">
      <c r="A2" s="11" t="s">
        <v>31</v>
      </c>
    </row>
    <row r="4" ht="30" customHeight="1" spans="1:6" x14ac:dyDescent="0.25">
      <c r="A4" s="12" t="s">
        <v>32</v>
      </c>
      <c r="B4" s="12" t="s">
        <v>33</v>
      </c>
      <c r="C4" s="12" t="s">
        <v>34</v>
      </c>
      <c r="D4" s="12" t="s">
        <v>35</v>
      </c>
      <c r="E4" s="12" t="s">
        <v>36</v>
      </c>
      <c r="F4" s="12" t="s">
        <v>37</v>
      </c>
    </row>
    <row r="5" spans="1:6" x14ac:dyDescent="0.25">
      <c r="A5" s="13" t="s">
        <v>38</v>
      </c>
      <c r="B5" s="13" t="s">
        <v>39</v>
      </c>
      <c r="C5" s="14">
        <v>2024</v>
      </c>
      <c r="D5" s="13" t="s">
        <v>40</v>
      </c>
      <c r="E5" s="15">
        <v>1000000</v>
      </c>
      <c r="F5" s="13" t="s">
        <v>41</v>
      </c>
    </row>
    <row r="6" spans="1:6" x14ac:dyDescent="0.25">
      <c r="A6" s="13" t="s">
        <v>42</v>
      </c>
      <c r="B6" s="13" t="s">
        <v>39</v>
      </c>
      <c r="C6" s="14">
        <v>2025</v>
      </c>
      <c r="D6" s="13" t="s">
        <v>43</v>
      </c>
      <c r="E6" s="15">
        <v>500000</v>
      </c>
      <c r="F6" s="13" t="s">
        <v>44</v>
      </c>
    </row>
    <row r="7" spans="1:6" x14ac:dyDescent="0.25">
      <c r="A7" s="13" t="s">
        <v>45</v>
      </c>
      <c r="B7" s="13" t="s">
        <v>46</v>
      </c>
      <c r="C7" s="14">
        <v>2019</v>
      </c>
      <c r="D7" s="13" t="s">
        <v>40</v>
      </c>
      <c r="E7" s="15">
        <v>2000000</v>
      </c>
      <c r="F7" s="13"/>
    </row>
    <row r="8" spans="1:6" x14ac:dyDescent="0.25">
      <c r="A8" s="16"/>
      <c r="B8" s="16"/>
      <c r="C8" s="17"/>
      <c r="D8" s="16"/>
      <c r="E8" s="18"/>
      <c r="F8" s="16"/>
    </row>
    <row r="9" spans="1:6" x14ac:dyDescent="0.25">
      <c r="A9" s="16"/>
      <c r="B9" s="16"/>
      <c r="C9" s="17"/>
      <c r="D9" s="16"/>
      <c r="E9" s="18"/>
      <c r="F9" s="16"/>
    </row>
    <row r="10" spans="1:6" x14ac:dyDescent="0.25">
      <c r="A10" s="16"/>
      <c r="B10" s="16"/>
      <c r="C10" s="17"/>
      <c r="D10" s="16"/>
      <c r="E10" s="18"/>
      <c r="F10" s="16"/>
    </row>
    <row r="11" spans="1:6" x14ac:dyDescent="0.25">
      <c r="A11" s="16"/>
      <c r="B11" s="16"/>
      <c r="C11" s="17"/>
      <c r="D11" s="16"/>
      <c r="E11" s="18"/>
      <c r="F11" s="16"/>
    </row>
    <row r="12" spans="1:6" x14ac:dyDescent="0.25">
      <c r="A12" s="16"/>
      <c r="B12" s="16"/>
      <c r="C12" s="17"/>
      <c r="D12" s="16"/>
      <c r="E12" s="18"/>
      <c r="F12" s="16"/>
    </row>
    <row r="13" spans="1:6" x14ac:dyDescent="0.25">
      <c r="A13" s="16"/>
      <c r="B13" s="16"/>
      <c r="C13" s="17"/>
      <c r="D13" s="16"/>
      <c r="E13" s="18"/>
      <c r="F13" s="16"/>
    </row>
    <row r="14" spans="1:6" x14ac:dyDescent="0.25">
      <c r="A14" s="16"/>
      <c r="B14" s="16"/>
      <c r="C14" s="17"/>
      <c r="D14" s="16"/>
      <c r="E14" s="18"/>
      <c r="F14" s="16"/>
    </row>
    <row r="15" spans="1:6" x14ac:dyDescent="0.25">
      <c r="A15" s="16"/>
      <c r="B15" s="16"/>
      <c r="C15" s="17"/>
      <c r="D15" s="16"/>
      <c r="E15" s="18"/>
      <c r="F15" s="16"/>
    </row>
    <row r="16" spans="1:6" x14ac:dyDescent="0.25">
      <c r="A16" s="16"/>
      <c r="B16" s="16"/>
      <c r="C16" s="17"/>
      <c r="D16" s="16"/>
      <c r="E16" s="18"/>
      <c r="F16" s="16"/>
    </row>
    <row r="17" spans="1:6" x14ac:dyDescent="0.25">
      <c r="A17" s="16"/>
      <c r="B17" s="16"/>
      <c r="C17" s="17"/>
      <c r="D17" s="16"/>
      <c r="E17" s="18"/>
      <c r="F17" s="16"/>
    </row>
    <row r="18" spans="1:6" x14ac:dyDescent="0.25">
      <c r="A18" s="16"/>
      <c r="B18" s="16"/>
      <c r="C18" s="17"/>
      <c r="D18" s="16"/>
      <c r="E18" s="18"/>
      <c r="F18" s="16"/>
    </row>
    <row r="19" spans="1:6" x14ac:dyDescent="0.25">
      <c r="A19" s="16"/>
      <c r="B19" s="16"/>
      <c r="C19" s="17"/>
      <c r="D19" s="16"/>
      <c r="E19" s="18"/>
      <c r="F19" s="16"/>
    </row>
    <row r="20" spans="1:6" x14ac:dyDescent="0.25">
      <c r="A20" s="16"/>
      <c r="B20" s="16"/>
      <c r="C20" s="17"/>
      <c r="D20" s="16"/>
      <c r="E20" s="18"/>
      <c r="F20" s="16"/>
    </row>
    <row r="21" spans="1:6" x14ac:dyDescent="0.25">
      <c r="A21" s="16"/>
      <c r="B21" s="16"/>
      <c r="C21" s="17"/>
      <c r="D21" s="16"/>
      <c r="E21" s="18"/>
      <c r="F21" s="16"/>
    </row>
    <row r="22" spans="1:6" x14ac:dyDescent="0.25">
      <c r="A22" s="16"/>
      <c r="B22" s="16"/>
      <c r="C22" s="17"/>
      <c r="D22" s="16"/>
      <c r="E22" s="18"/>
      <c r="F22" s="16"/>
    </row>
    <row r="23" spans="1:6" x14ac:dyDescent="0.25">
      <c r="A23" s="16"/>
      <c r="B23" s="16"/>
      <c r="C23" s="17"/>
      <c r="D23" s="16"/>
      <c r="E23" s="18"/>
      <c r="F23" s="16"/>
    </row>
    <row r="24" spans="1:6" x14ac:dyDescent="0.25">
      <c r="A24" s="16"/>
      <c r="B24" s="16"/>
      <c r="C24" s="17"/>
      <c r="D24" s="16"/>
      <c r="E24" s="18"/>
      <c r="F24" s="16"/>
    </row>
    <row r="25" spans="1:6" x14ac:dyDescent="0.25">
      <c r="A25" s="16"/>
      <c r="B25" s="16"/>
      <c r="C25" s="17"/>
      <c r="D25" s="16"/>
      <c r="E25" s="18"/>
      <c r="F25" s="16"/>
    </row>
    <row r="26" spans="1:6" x14ac:dyDescent="0.25">
      <c r="A26" s="16"/>
      <c r="B26" s="16"/>
      <c r="C26" s="17"/>
      <c r="D26" s="16"/>
      <c r="E26" s="18"/>
      <c r="F26" s="16"/>
    </row>
    <row r="27" spans="1:6" x14ac:dyDescent="0.25">
      <c r="A27" s="16"/>
      <c r="B27" s="16"/>
      <c r="C27" s="17"/>
      <c r="D27" s="16"/>
      <c r="E27" s="18"/>
      <c r="F27" s="16"/>
    </row>
    <row r="28" spans="1:6" x14ac:dyDescent="0.25">
      <c r="A28" s="16"/>
      <c r="B28" s="16"/>
      <c r="C28" s="17"/>
      <c r="D28" s="16"/>
      <c r="E28" s="18"/>
      <c r="F28" s="16"/>
    </row>
    <row r="29" spans="1:6" x14ac:dyDescent="0.25">
      <c r="A29" s="16"/>
      <c r="B29" s="16"/>
      <c r="C29" s="17"/>
      <c r="D29" s="16"/>
      <c r="E29" s="18"/>
      <c r="F29" s="16"/>
    </row>
    <row r="30" spans="1:6" x14ac:dyDescent="0.25">
      <c r="A30" s="16"/>
      <c r="B30" s="16"/>
      <c r="C30" s="17"/>
      <c r="D30" s="16"/>
      <c r="E30" s="18"/>
      <c r="F30" s="16"/>
    </row>
    <row r="31" spans="1:6" x14ac:dyDescent="0.25">
      <c r="A31" s="16"/>
      <c r="B31" s="16"/>
      <c r="C31" s="17"/>
      <c r="D31" s="16"/>
      <c r="E31" s="18"/>
      <c r="F31" s="16"/>
    </row>
    <row r="32" spans="1:6" x14ac:dyDescent="0.25">
      <c r="A32" s="16"/>
      <c r="B32" s="16"/>
      <c r="C32" s="17"/>
      <c r="D32" s="16"/>
      <c r="E32" s="18"/>
      <c r="F32" s="16"/>
    </row>
    <row r="33" spans="1:6" x14ac:dyDescent="0.25">
      <c r="A33" s="16"/>
      <c r="B33" s="16"/>
      <c r="C33" s="17"/>
      <c r="D33" s="16"/>
      <c r="E33" s="18"/>
      <c r="F33" s="16"/>
    </row>
    <row r="34" spans="1:6" x14ac:dyDescent="0.25">
      <c r="A34" s="16"/>
      <c r="B34" s="16"/>
      <c r="C34" s="17"/>
      <c r="D34" s="16"/>
      <c r="E34" s="18"/>
      <c r="F34" s="16"/>
    </row>
    <row r="35" spans="1:6" x14ac:dyDescent="0.25">
      <c r="A35" s="16"/>
      <c r="B35" s="16"/>
      <c r="C35" s="17"/>
      <c r="D35" s="16"/>
      <c r="E35" s="18"/>
      <c r="F35" s="16"/>
    </row>
    <row r="36" spans="1:6" x14ac:dyDescent="0.25">
      <c r="A36" s="16"/>
      <c r="B36" s="16"/>
      <c r="C36" s="17"/>
      <c r="D36" s="16"/>
      <c r="E36" s="18"/>
      <c r="F36" s="16"/>
    </row>
    <row r="37" spans="1:6" x14ac:dyDescent="0.25">
      <c r="A37" s="16"/>
      <c r="B37" s="16"/>
      <c r="C37" s="17"/>
      <c r="D37" s="16"/>
      <c r="E37" s="18"/>
      <c r="F37" s="16"/>
    </row>
    <row r="38" spans="1:6" x14ac:dyDescent="0.25">
      <c r="A38" s="16"/>
      <c r="B38" s="16"/>
      <c r="C38" s="17"/>
      <c r="D38" s="16"/>
      <c r="E38" s="18"/>
      <c r="F38" s="16"/>
    </row>
    <row r="39" spans="1:6" x14ac:dyDescent="0.25">
      <c r="A39" s="16"/>
      <c r="B39" s="16"/>
      <c r="C39" s="17"/>
      <c r="D39" s="16"/>
      <c r="E39" s="18"/>
      <c r="F39" s="16"/>
    </row>
    <row r="40" spans="1:6" x14ac:dyDescent="0.25">
      <c r="A40" s="16"/>
      <c r="B40" s="16"/>
      <c r="C40" s="17"/>
      <c r="D40" s="16"/>
      <c r="E40" s="18"/>
      <c r="F40" s="16"/>
    </row>
    <row r="41" spans="1:6" x14ac:dyDescent="0.25">
      <c r="A41" s="16"/>
      <c r="B41" s="16"/>
      <c r="C41" s="17"/>
      <c r="D41" s="16"/>
      <c r="E41" s="18"/>
      <c r="F41" s="16"/>
    </row>
    <row r="42" spans="1:6" x14ac:dyDescent="0.25">
      <c r="A42" s="16"/>
      <c r="B42" s="16"/>
      <c r="C42" s="17"/>
      <c r="D42" s="16"/>
      <c r="E42" s="18"/>
      <c r="F42" s="16"/>
    </row>
    <row r="43" spans="1:6" x14ac:dyDescent="0.25">
      <c r="A43" s="16"/>
      <c r="B43" s="16"/>
      <c r="C43" s="17"/>
      <c r="D43" s="16"/>
      <c r="E43" s="18"/>
      <c r="F43" s="16"/>
    </row>
    <row r="44" spans="1:6" x14ac:dyDescent="0.25">
      <c r="A44" s="16"/>
      <c r="B44" s="16"/>
      <c r="C44" s="17"/>
      <c r="D44" s="16"/>
      <c r="E44" s="18"/>
      <c r="F44" s="16"/>
    </row>
    <row r="45" spans="1:6" x14ac:dyDescent="0.25">
      <c r="A45" s="16"/>
      <c r="B45" s="16"/>
      <c r="C45" s="17"/>
      <c r="D45" s="16"/>
      <c r="E45" s="18"/>
      <c r="F45" s="16"/>
    </row>
    <row r="46" spans="1:6" x14ac:dyDescent="0.25">
      <c r="A46" s="16"/>
      <c r="B46" s="16"/>
      <c r="C46" s="17"/>
      <c r="D46" s="16"/>
      <c r="E46" s="18"/>
      <c r="F46" s="16"/>
    </row>
    <row r="47" spans="1:6" x14ac:dyDescent="0.25">
      <c r="A47" s="16"/>
      <c r="B47" s="16"/>
      <c r="C47" s="17"/>
      <c r="D47" s="16"/>
      <c r="E47" s="18"/>
      <c r="F47" s="16"/>
    </row>
    <row r="48" spans="1:6" x14ac:dyDescent="0.25">
      <c r="A48" s="16"/>
      <c r="B48" s="16"/>
      <c r="C48" s="17"/>
      <c r="D48" s="16"/>
      <c r="E48" s="18"/>
      <c r="F48" s="16"/>
    </row>
    <row r="49" spans="1:6" x14ac:dyDescent="0.25">
      <c r="A49" s="16"/>
      <c r="B49" s="16"/>
      <c r="C49" s="17"/>
      <c r="D49" s="16"/>
      <c r="E49" s="18"/>
      <c r="F49" s="16"/>
    </row>
    <row r="50" spans="1:6" x14ac:dyDescent="0.25">
      <c r="A50" s="16"/>
      <c r="B50" s="16"/>
      <c r="C50" s="17"/>
      <c r="D50" s="16"/>
      <c r="E50" s="18"/>
      <c r="F50" s="16"/>
    </row>
    <row r="51" spans="1:6" x14ac:dyDescent="0.25">
      <c r="A51" s="16"/>
      <c r="B51" s="16"/>
      <c r="C51" s="17"/>
      <c r="D51" s="16"/>
      <c r="E51" s="18"/>
      <c r="F51" s="16"/>
    </row>
    <row r="52" spans="1:6" x14ac:dyDescent="0.25">
      <c r="A52" s="16"/>
      <c r="B52" s="16"/>
      <c r="C52" s="17"/>
      <c r="D52" s="16"/>
      <c r="E52" s="18"/>
      <c r="F52" s="16"/>
    </row>
    <row r="53" spans="1:6" x14ac:dyDescent="0.25">
      <c r="A53" s="16"/>
      <c r="B53" s="16"/>
      <c r="C53" s="17"/>
      <c r="D53" s="16"/>
      <c r="E53" s="18"/>
      <c r="F53" s="16"/>
    </row>
    <row r="54" spans="1:6" x14ac:dyDescent="0.25">
      <c r="A54" s="16"/>
      <c r="B54" s="16"/>
      <c r="C54" s="17"/>
      <c r="D54" s="16"/>
      <c r="E54" s="18"/>
      <c r="F54" s="16"/>
    </row>
    <row r="55" spans="1:6" x14ac:dyDescent="0.25">
      <c r="A55" s="16"/>
      <c r="B55" s="16"/>
      <c r="C55" s="17"/>
      <c r="D55" s="16"/>
      <c r="E55" s="18"/>
      <c r="F55" s="16"/>
    </row>
    <row r="56" spans="1:6" x14ac:dyDescent="0.25">
      <c r="A56" s="16"/>
      <c r="B56" s="16"/>
      <c r="C56" s="17"/>
      <c r="D56" s="16"/>
      <c r="E56" s="18"/>
      <c r="F56" s="16"/>
    </row>
    <row r="57" spans="1:6" x14ac:dyDescent="0.25">
      <c r="A57" s="16"/>
      <c r="B57" s="16"/>
      <c r="C57" s="17"/>
      <c r="D57" s="16"/>
      <c r="E57" s="18"/>
      <c r="F57" s="16"/>
    </row>
    <row r="58" spans="1:6" x14ac:dyDescent="0.25">
      <c r="A58" s="16"/>
      <c r="B58" s="16"/>
      <c r="C58" s="17"/>
      <c r="D58" s="16"/>
      <c r="E58" s="18"/>
      <c r="F58" s="16"/>
    </row>
    <row r="59" spans="1:6" x14ac:dyDescent="0.25">
      <c r="A59" s="16"/>
      <c r="B59" s="16"/>
      <c r="C59" s="17"/>
      <c r="D59" s="16"/>
      <c r="E59" s="18"/>
      <c r="F59" s="16"/>
    </row>
    <row r="60" spans="1:6" x14ac:dyDescent="0.25">
      <c r="A60" s="16"/>
      <c r="B60" s="16"/>
      <c r="C60" s="17"/>
      <c r="D60" s="16"/>
      <c r="E60" s="18"/>
      <c r="F60" s="16"/>
    </row>
    <row r="61" spans="1:6" x14ac:dyDescent="0.25">
      <c r="A61" s="16"/>
      <c r="B61" s="16"/>
      <c r="C61" s="17"/>
      <c r="D61" s="16"/>
      <c r="E61" s="18"/>
      <c r="F61" s="16"/>
    </row>
    <row r="62" spans="1:6" x14ac:dyDescent="0.25">
      <c r="A62" s="16"/>
      <c r="B62" s="16"/>
      <c r="C62" s="17"/>
      <c r="D62" s="16"/>
      <c r="E62" s="18"/>
      <c r="F62" s="16"/>
    </row>
    <row r="63" spans="1:6" x14ac:dyDescent="0.25">
      <c r="A63" s="16"/>
      <c r="B63" s="16"/>
      <c r="C63" s="17"/>
      <c r="D63" s="16"/>
      <c r="E63" s="18"/>
      <c r="F63" s="16"/>
    </row>
    <row r="64" spans="1:6" x14ac:dyDescent="0.25">
      <c r="A64" s="16"/>
      <c r="B64" s="16"/>
      <c r="C64" s="17"/>
      <c r="D64" s="16"/>
      <c r="E64" s="18"/>
      <c r="F64" s="16"/>
    </row>
    <row r="65" spans="1:6" x14ac:dyDescent="0.25">
      <c r="A65" s="16"/>
      <c r="B65" s="16"/>
      <c r="C65" s="17"/>
      <c r="D65" s="16"/>
      <c r="E65" s="18"/>
      <c r="F65" s="16"/>
    </row>
    <row r="66" spans="1:6" x14ac:dyDescent="0.25">
      <c r="A66" s="16"/>
      <c r="B66" s="16"/>
      <c r="C66" s="17"/>
      <c r="D66" s="16"/>
      <c r="E66" s="18"/>
      <c r="F66" s="16"/>
    </row>
    <row r="67" spans="1:6" x14ac:dyDescent="0.25">
      <c r="A67" s="16"/>
      <c r="B67" s="16"/>
      <c r="C67" s="17"/>
      <c r="D67" s="16"/>
      <c r="E67" s="18"/>
      <c r="F67" s="16"/>
    </row>
    <row r="68" spans="1:6" x14ac:dyDescent="0.25">
      <c r="A68" s="16"/>
      <c r="B68" s="16"/>
      <c r="C68" s="17"/>
      <c r="D68" s="16"/>
      <c r="E68" s="18"/>
      <c r="F68" s="16"/>
    </row>
    <row r="69" spans="1:6" x14ac:dyDescent="0.25">
      <c r="A69" s="16"/>
      <c r="B69" s="16"/>
      <c r="C69" s="17"/>
      <c r="D69" s="16"/>
      <c r="E69" s="18"/>
      <c r="F69" s="16"/>
    </row>
    <row r="70" spans="1:6" x14ac:dyDescent="0.25">
      <c r="A70" s="16"/>
      <c r="B70" s="16"/>
      <c r="C70" s="17"/>
      <c r="D70" s="16"/>
      <c r="E70" s="18"/>
      <c r="F70" s="16"/>
    </row>
    <row r="71" spans="1:6" x14ac:dyDescent="0.25">
      <c r="A71" s="16"/>
      <c r="B71" s="16"/>
      <c r="C71" s="17"/>
      <c r="D71" s="16"/>
      <c r="E71" s="18"/>
      <c r="F71" s="16"/>
    </row>
    <row r="72" spans="1:6" x14ac:dyDescent="0.25">
      <c r="A72" s="16"/>
      <c r="B72" s="16"/>
      <c r="C72" s="17"/>
      <c r="D72" s="16"/>
      <c r="E72" s="18"/>
      <c r="F72" s="16"/>
    </row>
    <row r="73" spans="1:6" x14ac:dyDescent="0.25">
      <c r="A73" s="16"/>
      <c r="B73" s="16"/>
      <c r="C73" s="17"/>
      <c r="D73" s="16"/>
      <c r="E73" s="18"/>
      <c r="F73" s="16"/>
    </row>
    <row r="74" spans="1:6" x14ac:dyDescent="0.25">
      <c r="A74" s="16"/>
      <c r="B74" s="16"/>
      <c r="C74" s="17"/>
      <c r="D74" s="16"/>
      <c r="E74" s="18"/>
      <c r="F74" s="16"/>
    </row>
    <row r="75" spans="1:6" x14ac:dyDescent="0.25">
      <c r="A75" s="16"/>
      <c r="B75" s="16"/>
      <c r="C75" s="17"/>
      <c r="D75" s="16"/>
      <c r="E75" s="18"/>
      <c r="F75" s="16"/>
    </row>
    <row r="76" spans="1:6" x14ac:dyDescent="0.25">
      <c r="A76" s="16"/>
      <c r="B76" s="16"/>
      <c r="C76" s="17"/>
      <c r="D76" s="16"/>
      <c r="E76" s="18"/>
      <c r="F76" s="16"/>
    </row>
    <row r="77" spans="1:6" x14ac:dyDescent="0.25">
      <c r="A77" s="16"/>
      <c r="B77" s="16"/>
      <c r="C77" s="17"/>
      <c r="D77" s="16"/>
      <c r="E77" s="18"/>
      <c r="F77" s="16"/>
    </row>
    <row r="78" spans="1:6" x14ac:dyDescent="0.25">
      <c r="A78" s="16"/>
      <c r="B78" s="16"/>
      <c r="C78" s="17"/>
      <c r="D78" s="16"/>
      <c r="E78" s="18"/>
      <c r="F78" s="16"/>
    </row>
    <row r="79" spans="1:6" x14ac:dyDescent="0.25">
      <c r="A79" s="16"/>
      <c r="B79" s="16"/>
      <c r="C79" s="17"/>
      <c r="D79" s="16"/>
      <c r="E79" s="18"/>
      <c r="F79" s="16"/>
    </row>
    <row r="80" spans="1:6" x14ac:dyDescent="0.25">
      <c r="A80" s="16"/>
      <c r="B80" s="16"/>
      <c r="C80" s="17"/>
      <c r="D80" s="16"/>
      <c r="E80" s="18"/>
      <c r="F80" s="16"/>
    </row>
    <row r="81" spans="1:6" x14ac:dyDescent="0.25">
      <c r="A81" s="16"/>
      <c r="B81" s="16"/>
      <c r="C81" s="17"/>
      <c r="D81" s="16"/>
      <c r="E81" s="18"/>
      <c r="F81" s="16"/>
    </row>
    <row r="82" spans="1:6" x14ac:dyDescent="0.25">
      <c r="A82" s="16"/>
      <c r="B82" s="16"/>
      <c r="C82" s="17"/>
      <c r="D82" s="16"/>
      <c r="E82" s="18"/>
      <c r="F82" s="16"/>
    </row>
    <row r="83" spans="1:6" x14ac:dyDescent="0.25">
      <c r="A83" s="16"/>
      <c r="B83" s="16"/>
      <c r="C83" s="17"/>
      <c r="D83" s="16"/>
      <c r="E83" s="18"/>
      <c r="F83" s="16"/>
    </row>
    <row r="84" spans="1:6" x14ac:dyDescent="0.25">
      <c r="A84" s="16"/>
      <c r="B84" s="16"/>
      <c r="C84" s="17"/>
      <c r="D84" s="16"/>
      <c r="E84" s="18"/>
      <c r="F84" s="16"/>
    </row>
    <row r="85" spans="1:6" x14ac:dyDescent="0.25">
      <c r="A85" s="16"/>
      <c r="B85" s="16"/>
      <c r="C85" s="17"/>
      <c r="D85" s="16"/>
      <c r="E85" s="18"/>
      <c r="F85" s="16"/>
    </row>
    <row r="86" spans="1:6" x14ac:dyDescent="0.25">
      <c r="A86" s="16"/>
      <c r="B86" s="16"/>
      <c r="C86" s="17"/>
      <c r="D86" s="16"/>
      <c r="E86" s="18"/>
      <c r="F86" s="16"/>
    </row>
    <row r="87" spans="1:6" x14ac:dyDescent="0.25">
      <c r="A87" s="16"/>
      <c r="B87" s="16"/>
      <c r="C87" s="17"/>
      <c r="D87" s="16"/>
      <c r="E87" s="18"/>
      <c r="F87" s="16"/>
    </row>
    <row r="88" spans="1:6" x14ac:dyDescent="0.25">
      <c r="A88" s="16"/>
      <c r="B88" s="16"/>
      <c r="C88" s="17"/>
      <c r="D88" s="16"/>
      <c r="E88" s="18"/>
      <c r="F88" s="16"/>
    </row>
    <row r="89" spans="1:6" x14ac:dyDescent="0.25">
      <c r="A89" s="16"/>
      <c r="B89" s="16"/>
      <c r="C89" s="17"/>
      <c r="D89" s="16"/>
      <c r="E89" s="18"/>
      <c r="F89" s="16"/>
    </row>
    <row r="90" spans="1:6" x14ac:dyDescent="0.25">
      <c r="A90" s="16"/>
      <c r="B90" s="16"/>
      <c r="C90" s="17"/>
      <c r="D90" s="16"/>
      <c r="E90" s="18"/>
      <c r="F90" s="16"/>
    </row>
    <row r="91" spans="1:6" x14ac:dyDescent="0.25">
      <c r="A91" s="16"/>
      <c r="B91" s="16"/>
      <c r="C91" s="17"/>
      <c r="D91" s="16"/>
      <c r="E91" s="18"/>
      <c r="F91" s="16"/>
    </row>
    <row r="92" spans="1:6" x14ac:dyDescent="0.25">
      <c r="A92" s="16"/>
      <c r="B92" s="16"/>
      <c r="C92" s="17"/>
      <c r="D92" s="16"/>
      <c r="E92" s="18"/>
      <c r="F92" s="16"/>
    </row>
    <row r="93" spans="1:6" x14ac:dyDescent="0.25">
      <c r="A93" s="16"/>
      <c r="B93" s="16"/>
      <c r="C93" s="17"/>
      <c r="D93" s="16"/>
      <c r="E93" s="18"/>
      <c r="F93" s="16"/>
    </row>
    <row r="94" spans="1:6" x14ac:dyDescent="0.25">
      <c r="A94" s="16"/>
      <c r="B94" s="16"/>
      <c r="C94" s="17"/>
      <c r="D94" s="16"/>
      <c r="E94" s="18"/>
      <c r="F94" s="16"/>
    </row>
    <row r="95" spans="1:6" x14ac:dyDescent="0.25">
      <c r="A95" s="16"/>
      <c r="B95" s="16"/>
      <c r="C95" s="17"/>
      <c r="D95" s="16"/>
      <c r="E95" s="18"/>
      <c r="F95" s="16"/>
    </row>
    <row r="96" spans="1:6" x14ac:dyDescent="0.25">
      <c r="A96" s="16"/>
      <c r="B96" s="16"/>
      <c r="C96" s="17"/>
      <c r="D96" s="16"/>
      <c r="E96" s="18"/>
      <c r="F96" s="16"/>
    </row>
    <row r="97" spans="1:6" x14ac:dyDescent="0.25">
      <c r="A97" s="16"/>
      <c r="B97" s="16"/>
      <c r="C97" s="17"/>
      <c r="D97" s="16"/>
      <c r="E97" s="18"/>
      <c r="F97" s="16"/>
    </row>
    <row r="98" spans="1:6" x14ac:dyDescent="0.25">
      <c r="A98" s="16"/>
      <c r="B98" s="16"/>
      <c r="C98" s="17"/>
      <c r="D98" s="16"/>
      <c r="E98" s="18"/>
      <c r="F98" s="16"/>
    </row>
    <row r="99" spans="1:6" x14ac:dyDescent="0.25">
      <c r="A99" s="16"/>
      <c r="B99" s="16"/>
      <c r="C99" s="17"/>
      <c r="D99" s="16"/>
      <c r="E99" s="18"/>
      <c r="F99" s="16"/>
    </row>
    <row r="100" spans="1:6" x14ac:dyDescent="0.25">
      <c r="A100" s="16"/>
      <c r="B100" s="16"/>
      <c r="C100" s="17"/>
      <c r="D100" s="16"/>
      <c r="E100" s="18"/>
      <c r="F100" s="16"/>
    </row>
    <row r="101" spans="1:6" x14ac:dyDescent="0.25">
      <c r="A101" s="16"/>
      <c r="B101" s="16"/>
      <c r="C101" s="17"/>
      <c r="D101" s="16"/>
      <c r="E101" s="18"/>
      <c r="F101" s="16"/>
    </row>
    <row r="102" spans="1:6" x14ac:dyDescent="0.25">
      <c r="A102" s="16"/>
      <c r="B102" s="16"/>
      <c r="C102" s="17"/>
      <c r="D102" s="16"/>
      <c r="E102" s="18"/>
      <c r="F102" s="16"/>
    </row>
    <row r="103" spans="1:6" x14ac:dyDescent="0.25">
      <c r="A103" s="16"/>
      <c r="B103" s="16"/>
      <c r="C103" s="17"/>
      <c r="D103" s="16"/>
      <c r="E103" s="18"/>
      <c r="F103" s="16"/>
    </row>
    <row r="104" spans="1:6" x14ac:dyDescent="0.25">
      <c r="A104" s="16"/>
      <c r="B104" s="16"/>
      <c r="C104" s="17"/>
      <c r="D104" s="16"/>
      <c r="E104" s="18"/>
      <c r="F104" s="16"/>
    </row>
    <row r="105" spans="1:6" x14ac:dyDescent="0.25">
      <c r="A105" s="16"/>
      <c r="B105" s="16"/>
      <c r="C105" s="17"/>
      <c r="D105" s="16"/>
      <c r="E105" s="18"/>
      <c r="F105" s="16"/>
    </row>
    <row r="106" spans="1:6" x14ac:dyDescent="0.25">
      <c r="A106" s="16"/>
      <c r="B106" s="16"/>
      <c r="C106" s="17"/>
      <c r="D106" s="16"/>
      <c r="E106" s="18"/>
      <c r="F106" s="16"/>
    </row>
    <row r="107" spans="1:6" x14ac:dyDescent="0.25">
      <c r="A107" s="16"/>
      <c r="B107" s="16"/>
      <c r="C107" s="17"/>
      <c r="D107" s="16"/>
      <c r="E107" s="18"/>
      <c r="F107" s="16"/>
    </row>
    <row r="108" spans="1:6" x14ac:dyDescent="0.25">
      <c r="A108" s="16"/>
      <c r="B108" s="16"/>
      <c r="C108" s="17"/>
      <c r="D108" s="16"/>
      <c r="E108" s="18"/>
      <c r="F108" s="16"/>
    </row>
    <row r="109" spans="1:6" x14ac:dyDescent="0.25">
      <c r="A109" s="16"/>
      <c r="B109" s="16"/>
      <c r="C109" s="17"/>
      <c r="D109" s="16"/>
      <c r="E109" s="18"/>
      <c r="F109" s="16"/>
    </row>
    <row r="110" spans="1:6" x14ac:dyDescent="0.25">
      <c r="A110" s="16"/>
      <c r="B110" s="16"/>
      <c r="C110" s="17"/>
      <c r="D110" s="16"/>
      <c r="E110" s="18"/>
      <c r="F110" s="16"/>
    </row>
    <row r="111" spans="1:6" x14ac:dyDescent="0.25">
      <c r="A111" s="16"/>
      <c r="B111" s="16"/>
      <c r="C111" s="17"/>
      <c r="D111" s="16"/>
      <c r="E111" s="18"/>
      <c r="F111" s="16"/>
    </row>
    <row r="112" spans="1:6" x14ac:dyDescent="0.25">
      <c r="A112" s="16"/>
      <c r="B112" s="16"/>
      <c r="C112" s="17"/>
      <c r="D112" s="16"/>
      <c r="E112" s="18"/>
      <c r="F112" s="16"/>
    </row>
    <row r="113" spans="1:6" x14ac:dyDescent="0.25">
      <c r="A113" s="16"/>
      <c r="B113" s="16"/>
      <c r="C113" s="17"/>
      <c r="D113" s="16"/>
      <c r="E113" s="18"/>
      <c r="F113" s="16"/>
    </row>
    <row r="114" spans="1:6" x14ac:dyDescent="0.25">
      <c r="A114" s="16"/>
      <c r="B114" s="16"/>
      <c r="C114" s="17"/>
      <c r="D114" s="16"/>
      <c r="E114" s="18"/>
      <c r="F114" s="16"/>
    </row>
    <row r="115" spans="1:6" x14ac:dyDescent="0.25">
      <c r="A115" s="16"/>
      <c r="B115" s="16"/>
      <c r="C115" s="17"/>
      <c r="D115" s="16"/>
      <c r="E115" s="18"/>
      <c r="F115" s="16"/>
    </row>
    <row r="116" spans="1:6" x14ac:dyDescent="0.25">
      <c r="A116" s="16"/>
      <c r="B116" s="16"/>
      <c r="C116" s="17"/>
      <c r="D116" s="16"/>
      <c r="E116" s="18"/>
      <c r="F116" s="16"/>
    </row>
    <row r="117" spans="1:6" x14ac:dyDescent="0.25">
      <c r="A117" s="16"/>
      <c r="B117" s="16"/>
      <c r="C117" s="17"/>
      <c r="D117" s="16"/>
      <c r="E117" s="18"/>
      <c r="F117" s="16"/>
    </row>
    <row r="118" spans="1:6" x14ac:dyDescent="0.25">
      <c r="A118" s="16"/>
      <c r="B118" s="16"/>
      <c r="C118" s="17"/>
      <c r="D118" s="16"/>
      <c r="E118" s="18"/>
      <c r="F118" s="16"/>
    </row>
    <row r="119" spans="1:6" x14ac:dyDescent="0.25">
      <c r="A119" s="16"/>
      <c r="B119" s="16"/>
      <c r="C119" s="17"/>
      <c r="D119" s="16"/>
      <c r="E119" s="18"/>
      <c r="F119" s="16"/>
    </row>
    <row r="120" spans="1:6" x14ac:dyDescent="0.25">
      <c r="A120" s="16"/>
      <c r="B120" s="16"/>
      <c r="C120" s="17"/>
      <c r="D120" s="16"/>
      <c r="E120" s="18"/>
      <c r="F120" s="16"/>
    </row>
    <row r="121" spans="1:6" x14ac:dyDescent="0.25">
      <c r="A121" s="16"/>
      <c r="B121" s="16"/>
      <c r="C121" s="17"/>
      <c r="D121" s="16"/>
      <c r="E121" s="18"/>
      <c r="F121" s="16"/>
    </row>
    <row r="122" spans="1:6" x14ac:dyDescent="0.25">
      <c r="A122" s="16"/>
      <c r="B122" s="16"/>
      <c r="C122" s="17"/>
      <c r="D122" s="16"/>
      <c r="E122" s="18"/>
      <c r="F122" s="16"/>
    </row>
    <row r="123" spans="1:6" x14ac:dyDescent="0.25">
      <c r="A123" s="16"/>
      <c r="B123" s="16"/>
      <c r="C123" s="17"/>
      <c r="D123" s="16"/>
      <c r="E123" s="18"/>
      <c r="F123" s="16"/>
    </row>
    <row r="124" spans="1:6" x14ac:dyDescent="0.25">
      <c r="A124" s="16"/>
      <c r="B124" s="16"/>
      <c r="C124" s="17"/>
      <c r="D124" s="16"/>
      <c r="E124" s="18"/>
      <c r="F124" s="16"/>
    </row>
    <row r="125" spans="1:6" x14ac:dyDescent="0.25">
      <c r="A125" s="16"/>
      <c r="B125" s="16"/>
      <c r="C125" s="17"/>
      <c r="D125" s="16"/>
      <c r="E125" s="18"/>
      <c r="F125" s="16"/>
    </row>
    <row r="126" spans="1:6" x14ac:dyDescent="0.25">
      <c r="A126" s="16"/>
      <c r="B126" s="16"/>
      <c r="C126" s="17"/>
      <c r="D126" s="16"/>
      <c r="E126" s="18"/>
      <c r="F126" s="16"/>
    </row>
    <row r="127" spans="1:6" x14ac:dyDescent="0.25">
      <c r="A127" s="16"/>
      <c r="B127" s="16"/>
      <c r="C127" s="17"/>
      <c r="D127" s="16"/>
      <c r="E127" s="18"/>
      <c r="F127" s="16"/>
    </row>
    <row r="128" spans="1:6" x14ac:dyDescent="0.25">
      <c r="A128" s="16"/>
      <c r="B128" s="16"/>
      <c r="C128" s="17"/>
      <c r="D128" s="16"/>
      <c r="E128" s="18"/>
      <c r="F128" s="16"/>
    </row>
    <row r="129" spans="1:6" x14ac:dyDescent="0.25">
      <c r="A129" s="16"/>
      <c r="B129" s="16"/>
      <c r="C129" s="17"/>
      <c r="D129" s="16"/>
      <c r="E129" s="18"/>
      <c r="F129" s="16"/>
    </row>
    <row r="130" spans="1:6" x14ac:dyDescent="0.25">
      <c r="A130" s="16"/>
      <c r="B130" s="16"/>
      <c r="C130" s="17"/>
      <c r="D130" s="16"/>
      <c r="E130" s="18"/>
      <c r="F130" s="16"/>
    </row>
    <row r="131" spans="1:6" x14ac:dyDescent="0.25">
      <c r="A131" s="16"/>
      <c r="B131" s="16"/>
      <c r="C131" s="17"/>
      <c r="D131" s="16"/>
      <c r="E131" s="18"/>
      <c r="F131" s="16"/>
    </row>
    <row r="132" spans="1:6" x14ac:dyDescent="0.25">
      <c r="A132" s="16"/>
      <c r="B132" s="16"/>
      <c r="C132" s="17"/>
      <c r="D132" s="16"/>
      <c r="E132" s="18"/>
      <c r="F132" s="16"/>
    </row>
    <row r="133" spans="1:6" x14ac:dyDescent="0.25">
      <c r="A133" s="16"/>
      <c r="B133" s="16"/>
      <c r="C133" s="17"/>
      <c r="D133" s="16"/>
      <c r="E133" s="18"/>
      <c r="F133" s="16"/>
    </row>
    <row r="134" spans="1:6" x14ac:dyDescent="0.25">
      <c r="A134" s="16"/>
      <c r="B134" s="16"/>
      <c r="C134" s="17"/>
      <c r="D134" s="16"/>
      <c r="E134" s="18"/>
      <c r="F134" s="16"/>
    </row>
    <row r="135" spans="1:6" x14ac:dyDescent="0.25">
      <c r="A135" s="16"/>
      <c r="B135" s="16"/>
      <c r="C135" s="17"/>
      <c r="D135" s="16"/>
      <c r="E135" s="18"/>
      <c r="F135" s="16"/>
    </row>
    <row r="136" spans="1:6" x14ac:dyDescent="0.25">
      <c r="A136" s="16"/>
      <c r="B136" s="16"/>
      <c r="C136" s="17"/>
      <c r="D136" s="16"/>
      <c r="E136" s="18"/>
      <c r="F136" s="16"/>
    </row>
    <row r="137" spans="1:6" x14ac:dyDescent="0.25">
      <c r="A137" s="16"/>
      <c r="B137" s="16"/>
      <c r="C137" s="17"/>
      <c r="D137" s="16"/>
      <c r="E137" s="18"/>
      <c r="F137" s="16"/>
    </row>
    <row r="138" spans="1:6" x14ac:dyDescent="0.25">
      <c r="A138" s="16"/>
      <c r="B138" s="16"/>
      <c r="C138" s="17"/>
      <c r="D138" s="16"/>
      <c r="E138" s="18"/>
      <c r="F138" s="16"/>
    </row>
    <row r="139" spans="1:6" x14ac:dyDescent="0.25">
      <c r="A139" s="16"/>
      <c r="B139" s="16"/>
      <c r="C139" s="17"/>
      <c r="D139" s="16"/>
      <c r="E139" s="18"/>
      <c r="F139" s="16"/>
    </row>
    <row r="140" spans="1:6" x14ac:dyDescent="0.25">
      <c r="A140" s="16"/>
      <c r="B140" s="16"/>
      <c r="C140" s="17"/>
      <c r="D140" s="16"/>
      <c r="E140" s="18"/>
      <c r="F140" s="16"/>
    </row>
    <row r="141" spans="1:6" x14ac:dyDescent="0.25">
      <c r="A141" s="16"/>
      <c r="B141" s="16"/>
      <c r="C141" s="17"/>
      <c r="D141" s="16"/>
      <c r="E141" s="18"/>
      <c r="F141" s="16"/>
    </row>
    <row r="142" spans="1:6" x14ac:dyDescent="0.25">
      <c r="A142" s="16"/>
      <c r="B142" s="16"/>
      <c r="C142" s="17"/>
      <c r="D142" s="16"/>
      <c r="E142" s="18"/>
      <c r="F142" s="16"/>
    </row>
    <row r="143" spans="1:6" x14ac:dyDescent="0.25">
      <c r="A143" s="16"/>
      <c r="B143" s="16"/>
      <c r="C143" s="17"/>
      <c r="D143" s="16"/>
      <c r="E143" s="18"/>
      <c r="F143" s="16"/>
    </row>
    <row r="144" spans="1:6" x14ac:dyDescent="0.25">
      <c r="A144" s="16"/>
      <c r="B144" s="16"/>
      <c r="C144" s="17"/>
      <c r="D144" s="16"/>
      <c r="E144" s="18"/>
      <c r="F144" s="16"/>
    </row>
    <row r="145" spans="1:6" x14ac:dyDescent="0.25">
      <c r="A145" s="16"/>
      <c r="B145" s="16"/>
      <c r="C145" s="17"/>
      <c r="D145" s="16"/>
      <c r="E145" s="18"/>
      <c r="F145" s="16"/>
    </row>
    <row r="146" spans="1:6" x14ac:dyDescent="0.25">
      <c r="A146" s="16"/>
      <c r="B146" s="16"/>
      <c r="C146" s="17"/>
      <c r="D146" s="16"/>
      <c r="E146" s="18"/>
      <c r="F146" s="16"/>
    </row>
    <row r="147" spans="1:6" x14ac:dyDescent="0.25">
      <c r="A147" s="16"/>
      <c r="B147" s="16"/>
      <c r="C147" s="17"/>
      <c r="D147" s="16"/>
      <c r="E147" s="18"/>
      <c r="F147" s="16"/>
    </row>
    <row r="148" spans="1:6" x14ac:dyDescent="0.25">
      <c r="A148" s="16"/>
      <c r="B148" s="16"/>
      <c r="C148" s="17"/>
      <c r="D148" s="16"/>
      <c r="E148" s="18"/>
      <c r="F148" s="16"/>
    </row>
    <row r="149" spans="1:6" x14ac:dyDescent="0.25">
      <c r="A149" s="16"/>
      <c r="B149" s="16"/>
      <c r="C149" s="17"/>
      <c r="D149" s="16"/>
      <c r="E149" s="18"/>
      <c r="F149" s="16"/>
    </row>
    <row r="150" spans="1:6" x14ac:dyDescent="0.25">
      <c r="A150" s="16"/>
      <c r="B150" s="16"/>
      <c r="C150" s="17"/>
      <c r="D150" s="16"/>
      <c r="E150" s="18"/>
      <c r="F150" s="16"/>
    </row>
    <row r="151" spans="1:6" x14ac:dyDescent="0.25">
      <c r="A151" s="16"/>
      <c r="B151" s="16"/>
      <c r="C151" s="17"/>
      <c r="D151" s="16"/>
      <c r="E151" s="18"/>
      <c r="F151" s="16"/>
    </row>
    <row r="152" spans="1:6" x14ac:dyDescent="0.25">
      <c r="A152" s="16"/>
      <c r="B152" s="16"/>
      <c r="C152" s="17"/>
      <c r="D152" s="16"/>
      <c r="E152" s="18"/>
      <c r="F152" s="16"/>
    </row>
    <row r="153" spans="1:6" x14ac:dyDescent="0.25">
      <c r="A153" s="16"/>
      <c r="B153" s="16"/>
      <c r="C153" s="17"/>
      <c r="D153" s="16"/>
      <c r="E153" s="18"/>
      <c r="F153" s="16"/>
    </row>
    <row r="154" spans="1:6" x14ac:dyDescent="0.25">
      <c r="A154" s="16"/>
      <c r="B154" s="16"/>
      <c r="C154" s="17"/>
      <c r="D154" s="16"/>
      <c r="E154" s="18"/>
      <c r="F154" s="16"/>
    </row>
    <row r="155" spans="1:6" x14ac:dyDescent="0.25">
      <c r="A155" s="16"/>
      <c r="B155" s="16"/>
      <c r="C155" s="17"/>
      <c r="D155" s="16"/>
      <c r="E155" s="18"/>
      <c r="F155" s="16"/>
    </row>
    <row r="156" spans="1:6" x14ac:dyDescent="0.25">
      <c r="A156" s="16"/>
      <c r="B156" s="16"/>
      <c r="C156" s="17"/>
      <c r="D156" s="16"/>
      <c r="E156" s="18"/>
      <c r="F156" s="16"/>
    </row>
    <row r="157" spans="1:6" x14ac:dyDescent="0.25">
      <c r="A157" s="16"/>
      <c r="B157" s="16"/>
      <c r="C157" s="17"/>
      <c r="D157" s="16"/>
      <c r="E157" s="18"/>
      <c r="F157" s="16"/>
    </row>
    <row r="158" spans="1:6" x14ac:dyDescent="0.25">
      <c r="A158" s="16"/>
      <c r="B158" s="16"/>
      <c r="C158" s="17"/>
      <c r="D158" s="16"/>
      <c r="E158" s="18"/>
      <c r="F158" s="16"/>
    </row>
    <row r="159" spans="1:6" x14ac:dyDescent="0.25">
      <c r="A159" s="16"/>
      <c r="B159" s="16"/>
      <c r="C159" s="17"/>
      <c r="D159" s="16"/>
      <c r="E159" s="18"/>
      <c r="F159" s="16"/>
    </row>
    <row r="160" spans="1:6" x14ac:dyDescent="0.25">
      <c r="A160" s="16"/>
      <c r="B160" s="16"/>
      <c r="C160" s="17"/>
      <c r="D160" s="16"/>
      <c r="E160" s="18"/>
      <c r="F160" s="16"/>
    </row>
    <row r="161" spans="1:6" x14ac:dyDescent="0.25">
      <c r="A161" s="16"/>
      <c r="B161" s="16"/>
      <c r="C161" s="17"/>
      <c r="D161" s="16"/>
      <c r="E161" s="18"/>
      <c r="F161" s="16"/>
    </row>
    <row r="162" spans="1:6" x14ac:dyDescent="0.25">
      <c r="A162" s="16"/>
      <c r="B162" s="16"/>
      <c r="C162" s="17"/>
      <c r="D162" s="16"/>
      <c r="E162" s="18"/>
      <c r="F162" s="16"/>
    </row>
    <row r="163" spans="1:6" x14ac:dyDescent="0.25">
      <c r="A163" s="16"/>
      <c r="B163" s="16"/>
      <c r="C163" s="17"/>
      <c r="D163" s="16"/>
      <c r="E163" s="18"/>
      <c r="F163" s="16"/>
    </row>
    <row r="164" spans="1:6" x14ac:dyDescent="0.25">
      <c r="A164" s="16"/>
      <c r="B164" s="16"/>
      <c r="C164" s="17"/>
      <c r="D164" s="16"/>
      <c r="E164" s="18"/>
      <c r="F164" s="16"/>
    </row>
    <row r="165" spans="1:6" x14ac:dyDescent="0.25">
      <c r="A165" s="16"/>
      <c r="B165" s="16"/>
      <c r="C165" s="17"/>
      <c r="D165" s="16"/>
      <c r="E165" s="18"/>
      <c r="F165" s="16"/>
    </row>
    <row r="166" spans="1:6" x14ac:dyDescent="0.25">
      <c r="A166" s="16"/>
      <c r="B166" s="16"/>
      <c r="C166" s="17"/>
      <c r="D166" s="16"/>
      <c r="E166" s="18"/>
      <c r="F166" s="16"/>
    </row>
    <row r="167" spans="1:6" x14ac:dyDescent="0.25">
      <c r="A167" s="16"/>
      <c r="B167" s="16"/>
      <c r="C167" s="17"/>
      <c r="D167" s="16"/>
      <c r="E167" s="18"/>
      <c r="F167" s="16"/>
    </row>
    <row r="168" spans="1:6" x14ac:dyDescent="0.25">
      <c r="A168" s="16"/>
      <c r="B168" s="16"/>
      <c r="C168" s="17"/>
      <c r="D168" s="16"/>
      <c r="E168" s="18"/>
      <c r="F168" s="16"/>
    </row>
    <row r="169" spans="1:6" x14ac:dyDescent="0.25">
      <c r="A169" s="16"/>
      <c r="B169" s="16"/>
      <c r="C169" s="17"/>
      <c r="D169" s="16"/>
      <c r="E169" s="18"/>
      <c r="F169" s="16"/>
    </row>
    <row r="170" spans="1:6" x14ac:dyDescent="0.25">
      <c r="A170" s="16"/>
      <c r="B170" s="16"/>
      <c r="C170" s="17"/>
      <c r="D170" s="16"/>
      <c r="E170" s="18"/>
      <c r="F170" s="16"/>
    </row>
    <row r="171" spans="1:6" x14ac:dyDescent="0.25">
      <c r="A171" s="16"/>
      <c r="B171" s="16"/>
      <c r="C171" s="17"/>
      <c r="D171" s="16"/>
      <c r="E171" s="18"/>
      <c r="F171" s="16"/>
    </row>
    <row r="172" spans="1:6" x14ac:dyDescent="0.25">
      <c r="A172" s="16"/>
      <c r="B172" s="16"/>
      <c r="C172" s="17"/>
      <c r="D172" s="16"/>
      <c r="E172" s="18"/>
      <c r="F172" s="16"/>
    </row>
    <row r="173" spans="1:6" x14ac:dyDescent="0.25">
      <c r="A173" s="16"/>
      <c r="B173" s="16"/>
      <c r="C173" s="17"/>
      <c r="D173" s="16"/>
      <c r="E173" s="18"/>
      <c r="F173" s="16"/>
    </row>
    <row r="174" spans="1:6" x14ac:dyDescent="0.25">
      <c r="A174" s="16"/>
      <c r="B174" s="16"/>
      <c r="C174" s="17"/>
      <c r="D174" s="16"/>
      <c r="E174" s="18"/>
      <c r="F174" s="16"/>
    </row>
    <row r="175" spans="1:6" x14ac:dyDescent="0.25">
      <c r="A175" s="16"/>
      <c r="B175" s="16"/>
      <c r="C175" s="17"/>
      <c r="D175" s="16"/>
      <c r="E175" s="18"/>
      <c r="F175" s="16"/>
    </row>
    <row r="176" spans="1:6" x14ac:dyDescent="0.25">
      <c r="A176" s="16"/>
      <c r="B176" s="16"/>
      <c r="C176" s="17"/>
      <c r="D176" s="16"/>
      <c r="E176" s="18"/>
      <c r="F176" s="16"/>
    </row>
    <row r="177" spans="1:6" x14ac:dyDescent="0.25">
      <c r="A177" s="16"/>
      <c r="B177" s="16"/>
      <c r="C177" s="17"/>
      <c r="D177" s="16"/>
      <c r="E177" s="18"/>
      <c r="F177" s="16"/>
    </row>
    <row r="178" spans="1:6" x14ac:dyDescent="0.25">
      <c r="A178" s="16"/>
      <c r="B178" s="16"/>
      <c r="C178" s="17"/>
      <c r="D178" s="16"/>
      <c r="E178" s="18"/>
      <c r="F178" s="16"/>
    </row>
    <row r="179" spans="1:6" x14ac:dyDescent="0.25">
      <c r="A179" s="16"/>
      <c r="B179" s="16"/>
      <c r="C179" s="17"/>
      <c r="D179" s="16"/>
      <c r="E179" s="18"/>
      <c r="F179" s="16"/>
    </row>
    <row r="180" spans="1:6" x14ac:dyDescent="0.25">
      <c r="A180" s="16"/>
      <c r="B180" s="16"/>
      <c r="C180" s="17"/>
      <c r="D180" s="16"/>
      <c r="E180" s="18"/>
      <c r="F180" s="16"/>
    </row>
    <row r="181" spans="1:6" x14ac:dyDescent="0.25">
      <c r="A181" s="16"/>
      <c r="B181" s="16"/>
      <c r="C181" s="17"/>
      <c r="D181" s="16"/>
      <c r="E181" s="18"/>
      <c r="F181" s="16"/>
    </row>
    <row r="182" spans="1:6" x14ac:dyDescent="0.25">
      <c r="A182" s="16"/>
      <c r="B182" s="16"/>
      <c r="C182" s="17"/>
      <c r="D182" s="16"/>
      <c r="E182" s="18"/>
      <c r="F182" s="16"/>
    </row>
    <row r="183" spans="1:6" x14ac:dyDescent="0.25">
      <c r="A183" s="16"/>
      <c r="B183" s="16"/>
      <c r="C183" s="17"/>
      <c r="D183" s="16"/>
      <c r="E183" s="18"/>
      <c r="F183" s="16"/>
    </row>
    <row r="184" spans="1:6" x14ac:dyDescent="0.25">
      <c r="A184" s="16"/>
      <c r="B184" s="16"/>
      <c r="C184" s="17"/>
      <c r="D184" s="16"/>
      <c r="E184" s="18"/>
      <c r="F184" s="16"/>
    </row>
    <row r="185" spans="1:6" x14ac:dyDescent="0.25">
      <c r="A185" s="16"/>
      <c r="B185" s="16"/>
      <c r="C185" s="17"/>
      <c r="D185" s="16"/>
      <c r="E185" s="18"/>
      <c r="F185" s="16"/>
    </row>
    <row r="186" spans="1:6" x14ac:dyDescent="0.25">
      <c r="A186" s="16"/>
      <c r="B186" s="16"/>
      <c r="C186" s="17"/>
      <c r="D186" s="16"/>
      <c r="E186" s="18"/>
      <c r="F186" s="16"/>
    </row>
    <row r="187" spans="1:6" x14ac:dyDescent="0.25">
      <c r="A187" s="16"/>
      <c r="B187" s="16"/>
      <c r="C187" s="17"/>
      <c r="D187" s="16"/>
      <c r="E187" s="18"/>
      <c r="F187" s="16"/>
    </row>
    <row r="188" spans="1:6" x14ac:dyDescent="0.25">
      <c r="A188" s="16"/>
      <c r="B188" s="16"/>
      <c r="C188" s="17"/>
      <c r="D188" s="16"/>
      <c r="E188" s="18"/>
      <c r="F188" s="16"/>
    </row>
    <row r="189" spans="1:6" x14ac:dyDescent="0.25">
      <c r="A189" s="16"/>
      <c r="B189" s="16"/>
      <c r="C189" s="17"/>
      <c r="D189" s="16"/>
      <c r="E189" s="18"/>
      <c r="F189" s="16"/>
    </row>
    <row r="190" spans="1:6" x14ac:dyDescent="0.25">
      <c r="A190" s="16"/>
      <c r="B190" s="16"/>
      <c r="C190" s="17"/>
      <c r="D190" s="16"/>
      <c r="E190" s="18"/>
      <c r="F190" s="16"/>
    </row>
    <row r="191" spans="1:6" x14ac:dyDescent="0.25">
      <c r="A191" s="16"/>
      <c r="B191" s="16"/>
      <c r="C191" s="17"/>
      <c r="D191" s="16"/>
      <c r="E191" s="18"/>
      <c r="F191" s="16"/>
    </row>
    <row r="192" spans="1:6" x14ac:dyDescent="0.25">
      <c r="A192" s="16"/>
      <c r="B192" s="16"/>
      <c r="C192" s="17"/>
      <c r="D192" s="16"/>
      <c r="E192" s="18"/>
      <c r="F192" s="16"/>
    </row>
    <row r="193" spans="1:6" x14ac:dyDescent="0.25">
      <c r="A193" s="16"/>
      <c r="B193" s="16"/>
      <c r="C193" s="17"/>
      <c r="D193" s="16"/>
      <c r="E193" s="18"/>
      <c r="F193" s="16"/>
    </row>
    <row r="194" spans="1:6" x14ac:dyDescent="0.25">
      <c r="A194" s="16"/>
      <c r="B194" s="16"/>
      <c r="C194" s="17"/>
      <c r="D194" s="16"/>
      <c r="E194" s="18"/>
      <c r="F194" s="16"/>
    </row>
    <row r="195" spans="1:6" x14ac:dyDescent="0.25">
      <c r="A195" s="16"/>
      <c r="B195" s="16"/>
      <c r="C195" s="17"/>
      <c r="D195" s="16"/>
      <c r="E195" s="18"/>
      <c r="F195" s="16"/>
    </row>
    <row r="196" spans="1:6" x14ac:dyDescent="0.25">
      <c r="A196" s="16"/>
      <c r="B196" s="16"/>
      <c r="C196" s="17"/>
      <c r="D196" s="16"/>
      <c r="E196" s="18"/>
      <c r="F196" s="16"/>
    </row>
    <row r="197" spans="1:6" x14ac:dyDescent="0.25">
      <c r="A197" s="16"/>
      <c r="B197" s="16"/>
      <c r="C197" s="17"/>
      <c r="D197" s="16"/>
      <c r="E197" s="18"/>
      <c r="F197" s="16"/>
    </row>
    <row r="198" spans="1:6" x14ac:dyDescent="0.25">
      <c r="A198" s="16"/>
      <c r="B198" s="16"/>
      <c r="C198" s="17"/>
      <c r="D198" s="16"/>
      <c r="E198" s="18"/>
      <c r="F198" s="16"/>
    </row>
    <row r="199" spans="1:6" x14ac:dyDescent="0.25">
      <c r="A199" s="16"/>
      <c r="B199" s="16"/>
      <c r="C199" s="17"/>
      <c r="D199" s="16"/>
      <c r="E199" s="18"/>
      <c r="F199" s="16"/>
    </row>
    <row r="200" spans="1:6" x14ac:dyDescent="0.25">
      <c r="A200" s="16"/>
      <c r="B200" s="16"/>
      <c r="C200" s="17"/>
      <c r="D200" s="16"/>
      <c r="E200" s="18"/>
      <c r="F200" s="16"/>
    </row>
    <row r="201" spans="1:6" x14ac:dyDescent="0.25">
      <c r="A201" s="16"/>
      <c r="B201" s="16"/>
      <c r="C201" s="17"/>
      <c r="D201" s="16"/>
      <c r="E201" s="18"/>
      <c r="F201" s="16"/>
    </row>
    <row r="202" spans="1:6" x14ac:dyDescent="0.25">
      <c r="A202" s="16"/>
      <c r="B202" s="16"/>
      <c r="C202" s="17"/>
      <c r="D202" s="16"/>
      <c r="E202" s="18"/>
      <c r="F202" s="16"/>
    </row>
    <row r="203" spans="1:6" x14ac:dyDescent="0.25">
      <c r="A203" s="16"/>
      <c r="B203" s="16"/>
      <c r="C203" s="17"/>
      <c r="D203" s="16"/>
      <c r="E203" s="18"/>
      <c r="F203" s="16"/>
    </row>
    <row r="204" spans="1:6" x14ac:dyDescent="0.25">
      <c r="A204" s="16"/>
      <c r="B204" s="16"/>
      <c r="C204" s="17"/>
      <c r="D204" s="16"/>
      <c r="E204" s="18"/>
      <c r="F204" s="16"/>
    </row>
  </sheetData>
  <dataValidations count="3">
    <dataValidation type="whole" allowBlank="1" showErrorMessage="1" errorTitle="Jahrgang" error="Bitte ein Jahr eintragen, z. B. 2024." sqref="C5:C204">
      <formula1>1980</formula1>
      <formula2>2100</formula2>
    </dataValidation>
    <dataValidation type="list" allowBlank="1" showErrorMessage="1" errorStyle="warning" errorTitle="Währung" error="Nicht in der Liste. Eigene Währungscodes sind erlaubt, Summen gibt es immer je Währung." sqref="D5:D204">
      <formula1>"EUR,USD,GBP,CHF"</formula1>
    </dataValidation>
    <dataValidation type="decimal" operator="greaterThan" allowBlank="1" showErrorMessage="1" errorTitle="Zusage" error="Die Zusage ist ein positiver Betrag." sqref="E5:E204">
      <formula1>0</formula1>
    </dataValidation>
  </dataValidations>
  <pageSetup paperSize="9" orientation="landscape"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0"/>
  <sheetViews>
    <sheetView workbookViewId="0">
      <pane ySplit="4" topLeftCell="A5" activePane="bottomLeft" state="frozen"/>
      <selection pane="bottomLeft"/>
    </sheetView>
  </sheetViews>
  <sheetFormatPr defaultRowHeight="16" outlineLevelRow="0" outlineLevelCol="0" x14ac:dyDescent="55" customHeight="1"/>
  <cols>
    <col min="1" max="1" width="13" customWidth="1"/>
    <col min="2" max="2" width="38" customWidth="1"/>
    <col min="3" max="3" width="28" customWidth="1"/>
    <col min="4" max="5" width="16" customWidth="1"/>
    <col min="6" max="6" width="13" customWidth="1"/>
    <col min="7" max="7" width="14" customWidth="1"/>
    <col min="8" max="8" width="52" customWidth="1"/>
  </cols>
  <sheetData>
    <row r="1" ht="26" customHeight="1" spans="1:1" x14ac:dyDescent="0.25">
      <c r="A1" s="10" t="s">
        <v>47</v>
      </c>
    </row>
    <row r="2" spans="1:1" x14ac:dyDescent="0.25">
      <c r="A2" s="11" t="s">
        <v>48</v>
      </c>
    </row>
    <row r="4" ht="30" customHeight="1" spans="1:8" x14ac:dyDescent="0.25">
      <c r="A4" s="12" t="s">
        <v>49</v>
      </c>
      <c r="B4" s="12" t="s">
        <v>32</v>
      </c>
      <c r="C4" s="12" t="s">
        <v>50</v>
      </c>
      <c r="D4" s="12" t="s">
        <v>51</v>
      </c>
      <c r="E4" s="12" t="s">
        <v>52</v>
      </c>
      <c r="F4" s="12" t="s">
        <v>53</v>
      </c>
      <c r="G4" s="12" t="s">
        <v>54</v>
      </c>
      <c r="H4" s="12" t="s">
        <v>55</v>
      </c>
    </row>
    <row r="5" spans="1:8" x14ac:dyDescent="0.25">
      <c r="A5" s="19">
        <v>45366</v>
      </c>
      <c r="B5" s="13" t="s">
        <v>38</v>
      </c>
      <c r="C5" s="13" t="s">
        <v>56</v>
      </c>
      <c r="D5" s="15">
        <v>150000</v>
      </c>
      <c r="E5" s="15"/>
      <c r="F5" s="19">
        <v>45380</v>
      </c>
      <c r="G5" s="13" t="s">
        <v>57</v>
      </c>
      <c r="H5" s="13" t="s">
        <v>58</v>
      </c>
    </row>
    <row r="6" spans="1:8" x14ac:dyDescent="0.25">
      <c r="A6" s="19">
        <v>45366</v>
      </c>
      <c r="B6" s="13" t="s">
        <v>38</v>
      </c>
      <c r="C6" s="13" t="s">
        <v>59</v>
      </c>
      <c r="D6" s="15">
        <v>5000</v>
      </c>
      <c r="E6" s="15"/>
      <c r="F6" s="19">
        <v>45380</v>
      </c>
      <c r="G6" s="13" t="s">
        <v>57</v>
      </c>
      <c r="H6" s="13" t="s">
        <v>60</v>
      </c>
    </row>
    <row r="7" spans="1:8" x14ac:dyDescent="0.25">
      <c r="A7" s="19">
        <v>45565</v>
      </c>
      <c r="B7" s="13" t="s">
        <v>38</v>
      </c>
      <c r="C7" s="13" t="s">
        <v>56</v>
      </c>
      <c r="D7" s="15">
        <v>200000</v>
      </c>
      <c r="E7" s="15"/>
      <c r="F7" s="19">
        <v>45579</v>
      </c>
      <c r="G7" s="13" t="s">
        <v>57</v>
      </c>
      <c r="H7" s="13" t="s">
        <v>61</v>
      </c>
    </row>
    <row r="8" spans="1:8" x14ac:dyDescent="0.25">
      <c r="A8" s="19">
        <v>45838</v>
      </c>
      <c r="B8" s="13" t="s">
        <v>38</v>
      </c>
      <c r="C8" s="13" t="s">
        <v>62</v>
      </c>
      <c r="D8" s="15">
        <v>80000</v>
      </c>
      <c r="E8" s="15">
        <v>50000</v>
      </c>
      <c r="F8" s="19"/>
      <c r="G8" s="13" t="s">
        <v>63</v>
      </c>
      <c r="H8" s="13" t="s">
        <v>64</v>
      </c>
    </row>
    <row r="9" spans="1:8" x14ac:dyDescent="0.25">
      <c r="A9" s="19">
        <v>46325</v>
      </c>
      <c r="B9" s="13" t="s">
        <v>38</v>
      </c>
      <c r="C9" s="13" t="s">
        <v>56</v>
      </c>
      <c r="D9" s="15">
        <v>100000</v>
      </c>
      <c r="E9" s="15"/>
      <c r="F9" s="19">
        <v>46339</v>
      </c>
      <c r="G9" s="13" t="s">
        <v>65</v>
      </c>
      <c r="H9" s="13" t="s">
        <v>66</v>
      </c>
    </row>
    <row r="10" spans="1:8" x14ac:dyDescent="0.25">
      <c r="A10" s="19">
        <v>45689</v>
      </c>
      <c r="B10" s="13" t="s">
        <v>42</v>
      </c>
      <c r="C10" s="13" t="s">
        <v>56</v>
      </c>
      <c r="D10" s="15">
        <v>120000</v>
      </c>
      <c r="E10" s="15"/>
      <c r="F10" s="19">
        <v>45703</v>
      </c>
      <c r="G10" s="13" t="s">
        <v>57</v>
      </c>
      <c r="H10" s="13" t="s">
        <v>67</v>
      </c>
    </row>
    <row r="11" spans="1:8" x14ac:dyDescent="0.25">
      <c r="A11" s="19">
        <v>45689</v>
      </c>
      <c r="B11" s="13" t="s">
        <v>42</v>
      </c>
      <c r="C11" s="13" t="s">
        <v>68</v>
      </c>
      <c r="D11" s="15">
        <v>3600</v>
      </c>
      <c r="E11" s="15"/>
      <c r="F11" s="19">
        <v>45703</v>
      </c>
      <c r="G11" s="13" t="s">
        <v>57</v>
      </c>
      <c r="H11" s="13" t="s">
        <v>69</v>
      </c>
    </row>
    <row r="12" spans="1:8" x14ac:dyDescent="0.25">
      <c r="A12" s="19">
        <v>45931</v>
      </c>
      <c r="B12" s="13" t="s">
        <v>42</v>
      </c>
      <c r="C12" s="13" t="s">
        <v>56</v>
      </c>
      <c r="D12" s="15">
        <v>50000</v>
      </c>
      <c r="E12" s="15"/>
      <c r="F12" s="19">
        <v>45945</v>
      </c>
      <c r="G12" s="13" t="s">
        <v>57</v>
      </c>
      <c r="H12" s="13" t="s">
        <v>70</v>
      </c>
    </row>
    <row r="13" spans="1:8" x14ac:dyDescent="0.25">
      <c r="A13" s="19">
        <v>46328</v>
      </c>
      <c r="B13" s="13" t="s">
        <v>42</v>
      </c>
      <c r="C13" s="13" t="s">
        <v>56</v>
      </c>
      <c r="D13" s="15">
        <v>40000</v>
      </c>
      <c r="E13" s="15"/>
      <c r="F13" s="19">
        <v>46357</v>
      </c>
      <c r="G13" s="13" t="s">
        <v>65</v>
      </c>
      <c r="H13" s="13" t="s">
        <v>71</v>
      </c>
    </row>
    <row r="14" spans="1:8" x14ac:dyDescent="0.25">
      <c r="A14" s="19">
        <v>43830</v>
      </c>
      <c r="B14" s="13" t="s">
        <v>45</v>
      </c>
      <c r="C14" s="13" t="s">
        <v>56</v>
      </c>
      <c r="D14" s="15">
        <v>1600000</v>
      </c>
      <c r="E14" s="15"/>
      <c r="F14" s="19"/>
      <c r="G14" s="13" t="s">
        <v>57</v>
      </c>
      <c r="H14" s="13" t="s">
        <v>72</v>
      </c>
    </row>
    <row r="15" spans="1:8" x14ac:dyDescent="0.25">
      <c r="A15" s="19">
        <v>45412</v>
      </c>
      <c r="B15" s="13" t="s">
        <v>45</v>
      </c>
      <c r="C15" s="13" t="s">
        <v>62</v>
      </c>
      <c r="D15" s="15">
        <v>900000</v>
      </c>
      <c r="E15" s="15">
        <v>0</v>
      </c>
      <c r="F15" s="19"/>
      <c r="G15" s="13" t="s">
        <v>63</v>
      </c>
      <c r="H15" s="13" t="s">
        <v>73</v>
      </c>
    </row>
    <row r="16" spans="1:8" x14ac:dyDescent="0.25">
      <c r="A16" s="19">
        <v>45808</v>
      </c>
      <c r="B16" s="13" t="s">
        <v>45</v>
      </c>
      <c r="C16" s="13" t="s">
        <v>62</v>
      </c>
      <c r="D16" s="15">
        <v>300000</v>
      </c>
      <c r="E16" s="15">
        <v>100000</v>
      </c>
      <c r="F16" s="19"/>
      <c r="G16" s="13" t="s">
        <v>63</v>
      </c>
      <c r="H16" s="13" t="s">
        <v>74</v>
      </c>
    </row>
    <row r="17" spans="1:8" x14ac:dyDescent="0.25">
      <c r="A17" s="19">
        <v>45808</v>
      </c>
      <c r="B17" s="13" t="s">
        <v>45</v>
      </c>
      <c r="C17" s="13" t="s">
        <v>59</v>
      </c>
      <c r="D17" s="15">
        <v>20000</v>
      </c>
      <c r="E17" s="15"/>
      <c r="F17" s="19">
        <v>45822</v>
      </c>
      <c r="G17" s="13" t="s">
        <v>57</v>
      </c>
      <c r="H17" s="13" t="s">
        <v>75</v>
      </c>
    </row>
    <row r="18" spans="1:8" x14ac:dyDescent="0.25">
      <c r="A18" s="20"/>
      <c r="B18" s="16"/>
      <c r="C18" s="16"/>
      <c r="D18" s="18"/>
      <c r="E18" s="18"/>
      <c r="F18" s="20"/>
      <c r="G18" s="16"/>
      <c r="H18" s="16"/>
    </row>
    <row r="19" spans="1:8" x14ac:dyDescent="0.25">
      <c r="A19" s="20"/>
      <c r="B19" s="16"/>
      <c r="C19" s="16"/>
      <c r="D19" s="18"/>
      <c r="E19" s="18"/>
      <c r="F19" s="20"/>
      <c r="G19" s="16"/>
      <c r="H19" s="16"/>
    </row>
    <row r="20" spans="1:8" x14ac:dyDescent="0.25">
      <c r="A20" s="20"/>
      <c r="B20" s="16"/>
      <c r="C20" s="16"/>
      <c r="D20" s="18"/>
      <c r="E20" s="18"/>
      <c r="F20" s="20"/>
      <c r="G20" s="16"/>
      <c r="H20" s="16"/>
    </row>
    <row r="21" spans="1:8" x14ac:dyDescent="0.25">
      <c r="A21" s="20"/>
      <c r="B21" s="16"/>
      <c r="C21" s="16"/>
      <c r="D21" s="18"/>
      <c r="E21" s="18"/>
      <c r="F21" s="20"/>
      <c r="G21" s="16"/>
      <c r="H21" s="16"/>
    </row>
    <row r="22" spans="1:8" x14ac:dyDescent="0.25">
      <c r="A22" s="20"/>
      <c r="B22" s="16"/>
      <c r="C22" s="16"/>
      <c r="D22" s="18"/>
      <c r="E22" s="18"/>
      <c r="F22" s="20"/>
      <c r="G22" s="16"/>
      <c r="H22" s="16"/>
    </row>
    <row r="23" spans="1:8" x14ac:dyDescent="0.25">
      <c r="A23" s="20"/>
      <c r="B23" s="16"/>
      <c r="C23" s="16"/>
      <c r="D23" s="18"/>
      <c r="E23" s="18"/>
      <c r="F23" s="20"/>
      <c r="G23" s="16"/>
      <c r="H23" s="16"/>
    </row>
    <row r="24" spans="1:8" x14ac:dyDescent="0.25">
      <c r="A24" s="20"/>
      <c r="B24" s="16"/>
      <c r="C24" s="16"/>
      <c r="D24" s="18"/>
      <c r="E24" s="18"/>
      <c r="F24" s="20"/>
      <c r="G24" s="16"/>
      <c r="H24" s="16"/>
    </row>
    <row r="25" spans="1:8" x14ac:dyDescent="0.25">
      <c r="A25" s="20"/>
      <c r="B25" s="16"/>
      <c r="C25" s="16"/>
      <c r="D25" s="18"/>
      <c r="E25" s="18"/>
      <c r="F25" s="20"/>
      <c r="G25" s="16"/>
      <c r="H25" s="16"/>
    </row>
    <row r="26" spans="1:8" x14ac:dyDescent="0.25">
      <c r="A26" s="20"/>
      <c r="B26" s="16"/>
      <c r="C26" s="16"/>
      <c r="D26" s="18"/>
      <c r="E26" s="18"/>
      <c r="F26" s="20"/>
      <c r="G26" s="16"/>
      <c r="H26" s="16"/>
    </row>
    <row r="27" spans="1:8" x14ac:dyDescent="0.25">
      <c r="A27" s="20"/>
      <c r="B27" s="16"/>
      <c r="C27" s="16"/>
      <c r="D27" s="18"/>
      <c r="E27" s="18"/>
      <c r="F27" s="20"/>
      <c r="G27" s="16"/>
      <c r="H27" s="16"/>
    </row>
    <row r="28" spans="1:8" x14ac:dyDescent="0.25">
      <c r="A28" s="20"/>
      <c r="B28" s="16"/>
      <c r="C28" s="16"/>
      <c r="D28" s="18"/>
      <c r="E28" s="18"/>
      <c r="F28" s="20"/>
      <c r="G28" s="16"/>
      <c r="H28" s="16"/>
    </row>
    <row r="29" spans="1:8" x14ac:dyDescent="0.25">
      <c r="A29" s="20"/>
      <c r="B29" s="16"/>
      <c r="C29" s="16"/>
      <c r="D29" s="18"/>
      <c r="E29" s="18"/>
      <c r="F29" s="20"/>
      <c r="G29" s="16"/>
      <c r="H29" s="16"/>
    </row>
    <row r="30" spans="1:8" x14ac:dyDescent="0.25">
      <c r="A30" s="20"/>
      <c r="B30" s="16"/>
      <c r="C30" s="16"/>
      <c r="D30" s="18"/>
      <c r="E30" s="18"/>
      <c r="F30" s="20"/>
      <c r="G30" s="16"/>
      <c r="H30" s="16"/>
    </row>
    <row r="31" spans="1:8" x14ac:dyDescent="0.25">
      <c r="A31" s="20"/>
      <c r="B31" s="16"/>
      <c r="C31" s="16"/>
      <c r="D31" s="18"/>
      <c r="E31" s="18"/>
      <c r="F31" s="20"/>
      <c r="G31" s="16"/>
      <c r="H31" s="16"/>
    </row>
    <row r="32" spans="1:8" x14ac:dyDescent="0.25">
      <c r="A32" s="20"/>
      <c r="B32" s="16"/>
      <c r="C32" s="16"/>
      <c r="D32" s="18"/>
      <c r="E32" s="18"/>
      <c r="F32" s="20"/>
      <c r="G32" s="16"/>
      <c r="H32" s="16"/>
    </row>
    <row r="33" spans="1:8" x14ac:dyDescent="0.25">
      <c r="A33" s="20"/>
      <c r="B33" s="16"/>
      <c r="C33" s="16"/>
      <c r="D33" s="18"/>
      <c r="E33" s="18"/>
      <c r="F33" s="20"/>
      <c r="G33" s="16"/>
      <c r="H33" s="16"/>
    </row>
    <row r="34" spans="1:8" x14ac:dyDescent="0.25">
      <c r="A34" s="20"/>
      <c r="B34" s="16"/>
      <c r="C34" s="16"/>
      <c r="D34" s="18"/>
      <c r="E34" s="18"/>
      <c r="F34" s="20"/>
      <c r="G34" s="16"/>
      <c r="H34" s="16"/>
    </row>
    <row r="35" spans="1:8" x14ac:dyDescent="0.25">
      <c r="A35" s="20"/>
      <c r="B35" s="16"/>
      <c r="C35" s="16"/>
      <c r="D35" s="18"/>
      <c r="E35" s="18"/>
      <c r="F35" s="20"/>
      <c r="G35" s="16"/>
      <c r="H35" s="16"/>
    </row>
    <row r="36" spans="1:8" x14ac:dyDescent="0.25">
      <c r="A36" s="20"/>
      <c r="B36" s="16"/>
      <c r="C36" s="16"/>
      <c r="D36" s="18"/>
      <c r="E36" s="18"/>
      <c r="F36" s="20"/>
      <c r="G36" s="16"/>
      <c r="H36" s="16"/>
    </row>
    <row r="37" spans="1:8" x14ac:dyDescent="0.25">
      <c r="A37" s="20"/>
      <c r="B37" s="16"/>
      <c r="C37" s="16"/>
      <c r="D37" s="18"/>
      <c r="E37" s="18"/>
      <c r="F37" s="20"/>
      <c r="G37" s="16"/>
      <c r="H37" s="16"/>
    </row>
    <row r="38" spans="1:8" x14ac:dyDescent="0.25">
      <c r="A38" s="20"/>
      <c r="B38" s="16"/>
      <c r="C38" s="16"/>
      <c r="D38" s="18"/>
      <c r="E38" s="18"/>
      <c r="F38" s="20"/>
      <c r="G38" s="16"/>
      <c r="H38" s="16"/>
    </row>
    <row r="39" spans="1:8" x14ac:dyDescent="0.25">
      <c r="A39" s="20"/>
      <c r="B39" s="16"/>
      <c r="C39" s="16"/>
      <c r="D39" s="18"/>
      <c r="E39" s="18"/>
      <c r="F39" s="20"/>
      <c r="G39" s="16"/>
      <c r="H39" s="16"/>
    </row>
    <row r="40" spans="1:8" x14ac:dyDescent="0.25">
      <c r="A40" s="20"/>
      <c r="B40" s="16"/>
      <c r="C40" s="16"/>
      <c r="D40" s="18"/>
      <c r="E40" s="18"/>
      <c r="F40" s="20"/>
      <c r="G40" s="16"/>
      <c r="H40" s="16"/>
    </row>
    <row r="41" spans="1:8" x14ac:dyDescent="0.25">
      <c r="A41" s="20"/>
      <c r="B41" s="16"/>
      <c r="C41" s="16"/>
      <c r="D41" s="18"/>
      <c r="E41" s="18"/>
      <c r="F41" s="20"/>
      <c r="G41" s="16"/>
      <c r="H41" s="16"/>
    </row>
    <row r="42" spans="1:8" x14ac:dyDescent="0.25">
      <c r="A42" s="20"/>
      <c r="B42" s="16"/>
      <c r="C42" s="16"/>
      <c r="D42" s="18"/>
      <c r="E42" s="18"/>
      <c r="F42" s="20"/>
      <c r="G42" s="16"/>
      <c r="H42" s="16"/>
    </row>
    <row r="43" spans="1:8" x14ac:dyDescent="0.25">
      <c r="A43" s="20"/>
      <c r="B43" s="16"/>
      <c r="C43" s="16"/>
      <c r="D43" s="18"/>
      <c r="E43" s="18"/>
      <c r="F43" s="20"/>
      <c r="G43" s="16"/>
      <c r="H43" s="16"/>
    </row>
    <row r="44" spans="1:8" x14ac:dyDescent="0.25">
      <c r="A44" s="20"/>
      <c r="B44" s="16"/>
      <c r="C44" s="16"/>
      <c r="D44" s="18"/>
      <c r="E44" s="18"/>
      <c r="F44" s="20"/>
      <c r="G44" s="16"/>
      <c r="H44" s="16"/>
    </row>
    <row r="45" spans="1:8" x14ac:dyDescent="0.25">
      <c r="A45" s="20"/>
      <c r="B45" s="16"/>
      <c r="C45" s="16"/>
      <c r="D45" s="18"/>
      <c r="E45" s="18"/>
      <c r="F45" s="20"/>
      <c r="G45" s="16"/>
      <c r="H45" s="16"/>
    </row>
    <row r="46" spans="1:8" x14ac:dyDescent="0.25">
      <c r="A46" s="20"/>
      <c r="B46" s="16"/>
      <c r="C46" s="16"/>
      <c r="D46" s="18"/>
      <c r="E46" s="18"/>
      <c r="F46" s="20"/>
      <c r="G46" s="16"/>
      <c r="H46" s="16"/>
    </row>
    <row r="47" spans="1:8" x14ac:dyDescent="0.25">
      <c r="A47" s="20"/>
      <c r="B47" s="16"/>
      <c r="C47" s="16"/>
      <c r="D47" s="18"/>
      <c r="E47" s="18"/>
      <c r="F47" s="20"/>
      <c r="G47" s="16"/>
      <c r="H47" s="16"/>
    </row>
    <row r="48" spans="1:8" x14ac:dyDescent="0.25">
      <c r="A48" s="20"/>
      <c r="B48" s="16"/>
      <c r="C48" s="16"/>
      <c r="D48" s="18"/>
      <c r="E48" s="18"/>
      <c r="F48" s="20"/>
      <c r="G48" s="16"/>
      <c r="H48" s="16"/>
    </row>
    <row r="49" spans="1:8" x14ac:dyDescent="0.25">
      <c r="A49" s="20"/>
      <c r="B49" s="16"/>
      <c r="C49" s="16"/>
      <c r="D49" s="18"/>
      <c r="E49" s="18"/>
      <c r="F49" s="20"/>
      <c r="G49" s="16"/>
      <c r="H49" s="16"/>
    </row>
    <row r="50" spans="1:8" x14ac:dyDescent="0.25">
      <c r="A50" s="20"/>
      <c r="B50" s="16"/>
      <c r="C50" s="16"/>
      <c r="D50" s="18"/>
      <c r="E50" s="18"/>
      <c r="F50" s="20"/>
      <c r="G50" s="16"/>
      <c r="H50" s="16"/>
    </row>
    <row r="51" spans="1:8" x14ac:dyDescent="0.25">
      <c r="A51" s="20"/>
      <c r="B51" s="16"/>
      <c r="C51" s="16"/>
      <c r="D51" s="18"/>
      <c r="E51" s="18"/>
      <c r="F51" s="20"/>
      <c r="G51" s="16"/>
      <c r="H51" s="16"/>
    </row>
    <row r="52" spans="1:8" x14ac:dyDescent="0.25">
      <c r="A52" s="20"/>
      <c r="B52" s="16"/>
      <c r="C52" s="16"/>
      <c r="D52" s="18"/>
      <c r="E52" s="18"/>
      <c r="F52" s="20"/>
      <c r="G52" s="16"/>
      <c r="H52" s="16"/>
    </row>
    <row r="53" spans="1:8" x14ac:dyDescent="0.25">
      <c r="A53" s="20"/>
      <c r="B53" s="16"/>
      <c r="C53" s="16"/>
      <c r="D53" s="18"/>
      <c r="E53" s="18"/>
      <c r="F53" s="20"/>
      <c r="G53" s="16"/>
      <c r="H53" s="16"/>
    </row>
    <row r="54" spans="1:8" x14ac:dyDescent="0.25">
      <c r="A54" s="20"/>
      <c r="B54" s="16"/>
      <c r="C54" s="16"/>
      <c r="D54" s="18"/>
      <c r="E54" s="18"/>
      <c r="F54" s="20"/>
      <c r="G54" s="16"/>
      <c r="H54" s="16"/>
    </row>
    <row r="55" spans="1:8" x14ac:dyDescent="0.25">
      <c r="A55" s="20"/>
      <c r="B55" s="16"/>
      <c r="C55" s="16"/>
      <c r="D55" s="18"/>
      <c r="E55" s="18"/>
      <c r="F55" s="20"/>
      <c r="G55" s="16"/>
      <c r="H55" s="16"/>
    </row>
    <row r="56" spans="1:8" x14ac:dyDescent="0.25">
      <c r="A56" s="20"/>
      <c r="B56" s="16"/>
      <c r="C56" s="16"/>
      <c r="D56" s="18"/>
      <c r="E56" s="18"/>
      <c r="F56" s="20"/>
      <c r="G56" s="16"/>
      <c r="H56" s="16"/>
    </row>
    <row r="57" spans="1:8" x14ac:dyDescent="0.25">
      <c r="A57" s="20"/>
      <c r="B57" s="16"/>
      <c r="C57" s="16"/>
      <c r="D57" s="18"/>
      <c r="E57" s="18"/>
      <c r="F57" s="20"/>
      <c r="G57" s="16"/>
      <c r="H57" s="16"/>
    </row>
    <row r="58" spans="1:8" x14ac:dyDescent="0.25">
      <c r="A58" s="20"/>
      <c r="B58" s="16"/>
      <c r="C58" s="16"/>
      <c r="D58" s="18"/>
      <c r="E58" s="18"/>
      <c r="F58" s="20"/>
      <c r="G58" s="16"/>
      <c r="H58" s="16"/>
    </row>
    <row r="59" spans="1:8" x14ac:dyDescent="0.25">
      <c r="A59" s="20"/>
      <c r="B59" s="16"/>
      <c r="C59" s="16"/>
      <c r="D59" s="18"/>
      <c r="E59" s="18"/>
      <c r="F59" s="20"/>
      <c r="G59" s="16"/>
      <c r="H59" s="16"/>
    </row>
    <row r="60" spans="1:8" x14ac:dyDescent="0.25">
      <c r="A60" s="20"/>
      <c r="B60" s="16"/>
      <c r="C60" s="16"/>
      <c r="D60" s="18"/>
      <c r="E60" s="18"/>
      <c r="F60" s="20"/>
      <c r="G60" s="16"/>
      <c r="H60" s="16"/>
    </row>
    <row r="61" spans="1:8" x14ac:dyDescent="0.25">
      <c r="A61" s="20"/>
      <c r="B61" s="16"/>
      <c r="C61" s="16"/>
      <c r="D61" s="18"/>
      <c r="E61" s="18"/>
      <c r="F61" s="20"/>
      <c r="G61" s="16"/>
      <c r="H61" s="16"/>
    </row>
    <row r="62" spans="1:8" x14ac:dyDescent="0.25">
      <c r="A62" s="20"/>
      <c r="B62" s="16"/>
      <c r="C62" s="16"/>
      <c r="D62" s="18"/>
      <c r="E62" s="18"/>
      <c r="F62" s="20"/>
      <c r="G62" s="16"/>
      <c r="H62" s="16"/>
    </row>
    <row r="63" spans="1:8" x14ac:dyDescent="0.25">
      <c r="A63" s="20"/>
      <c r="B63" s="16"/>
      <c r="C63" s="16"/>
      <c r="D63" s="18"/>
      <c r="E63" s="18"/>
      <c r="F63" s="20"/>
      <c r="G63" s="16"/>
      <c r="H63" s="16"/>
    </row>
    <row r="64" spans="1:8" x14ac:dyDescent="0.25">
      <c r="A64" s="20"/>
      <c r="B64" s="16"/>
      <c r="C64" s="16"/>
      <c r="D64" s="18"/>
      <c r="E64" s="18"/>
      <c r="F64" s="20"/>
      <c r="G64" s="16"/>
      <c r="H64" s="16"/>
    </row>
    <row r="65" spans="1:8" x14ac:dyDescent="0.25">
      <c r="A65" s="20"/>
      <c r="B65" s="16"/>
      <c r="C65" s="16"/>
      <c r="D65" s="18"/>
      <c r="E65" s="18"/>
      <c r="F65" s="20"/>
      <c r="G65" s="16"/>
      <c r="H65" s="16"/>
    </row>
    <row r="66" spans="1:8" x14ac:dyDescent="0.25">
      <c r="A66" s="20"/>
      <c r="B66" s="16"/>
      <c r="C66" s="16"/>
      <c r="D66" s="18"/>
      <c r="E66" s="18"/>
      <c r="F66" s="20"/>
      <c r="G66" s="16"/>
      <c r="H66" s="16"/>
    </row>
    <row r="67" spans="1:8" x14ac:dyDescent="0.25">
      <c r="A67" s="20"/>
      <c r="B67" s="16"/>
      <c r="C67" s="16"/>
      <c r="D67" s="18"/>
      <c r="E67" s="18"/>
      <c r="F67" s="20"/>
      <c r="G67" s="16"/>
      <c r="H67" s="16"/>
    </row>
    <row r="68" spans="1:8" x14ac:dyDescent="0.25">
      <c r="A68" s="20"/>
      <c r="B68" s="16"/>
      <c r="C68" s="16"/>
      <c r="D68" s="18"/>
      <c r="E68" s="18"/>
      <c r="F68" s="20"/>
      <c r="G68" s="16"/>
      <c r="H68" s="16"/>
    </row>
    <row r="69" spans="1:8" x14ac:dyDescent="0.25">
      <c r="A69" s="20"/>
      <c r="B69" s="16"/>
      <c r="C69" s="16"/>
      <c r="D69" s="18"/>
      <c r="E69" s="18"/>
      <c r="F69" s="20"/>
      <c r="G69" s="16"/>
      <c r="H69" s="16"/>
    </row>
    <row r="70" spans="1:8" x14ac:dyDescent="0.25">
      <c r="A70" s="20"/>
      <c r="B70" s="16"/>
      <c r="C70" s="16"/>
      <c r="D70" s="18"/>
      <c r="E70" s="18"/>
      <c r="F70" s="20"/>
      <c r="G70" s="16"/>
      <c r="H70" s="16"/>
    </row>
    <row r="71" spans="1:8" x14ac:dyDescent="0.25">
      <c r="A71" s="20"/>
      <c r="B71" s="16"/>
      <c r="C71" s="16"/>
      <c r="D71" s="18"/>
      <c r="E71" s="18"/>
      <c r="F71" s="20"/>
      <c r="G71" s="16"/>
      <c r="H71" s="16"/>
    </row>
    <row r="72" spans="1:8" x14ac:dyDescent="0.25">
      <c r="A72" s="20"/>
      <c r="B72" s="16"/>
      <c r="C72" s="16"/>
      <c r="D72" s="18"/>
      <c r="E72" s="18"/>
      <c r="F72" s="20"/>
      <c r="G72" s="16"/>
      <c r="H72" s="16"/>
    </row>
    <row r="73" spans="1:8" x14ac:dyDescent="0.25">
      <c r="A73" s="20"/>
      <c r="B73" s="16"/>
      <c r="C73" s="16"/>
      <c r="D73" s="18"/>
      <c r="E73" s="18"/>
      <c r="F73" s="20"/>
      <c r="G73" s="16"/>
      <c r="H73" s="16"/>
    </row>
    <row r="74" spans="1:8" x14ac:dyDescent="0.25">
      <c r="A74" s="20"/>
      <c r="B74" s="16"/>
      <c r="C74" s="16"/>
      <c r="D74" s="18"/>
      <c r="E74" s="18"/>
      <c r="F74" s="20"/>
      <c r="G74" s="16"/>
      <c r="H74" s="16"/>
    </row>
    <row r="75" spans="1:8" x14ac:dyDescent="0.25">
      <c r="A75" s="20"/>
      <c r="B75" s="16"/>
      <c r="C75" s="16"/>
      <c r="D75" s="18"/>
      <c r="E75" s="18"/>
      <c r="F75" s="20"/>
      <c r="G75" s="16"/>
      <c r="H75" s="16"/>
    </row>
    <row r="76" spans="1:8" x14ac:dyDescent="0.25">
      <c r="A76" s="20"/>
      <c r="B76" s="16"/>
      <c r="C76" s="16"/>
      <c r="D76" s="18"/>
      <c r="E76" s="18"/>
      <c r="F76" s="20"/>
      <c r="G76" s="16"/>
      <c r="H76" s="16"/>
    </row>
    <row r="77" spans="1:8" x14ac:dyDescent="0.25">
      <c r="A77" s="20"/>
      <c r="B77" s="16"/>
      <c r="C77" s="16"/>
      <c r="D77" s="18"/>
      <c r="E77" s="18"/>
      <c r="F77" s="20"/>
      <c r="G77" s="16"/>
      <c r="H77" s="16"/>
    </row>
    <row r="78" spans="1:8" x14ac:dyDescent="0.25">
      <c r="A78" s="20"/>
      <c r="B78" s="16"/>
      <c r="C78" s="16"/>
      <c r="D78" s="18"/>
      <c r="E78" s="18"/>
      <c r="F78" s="20"/>
      <c r="G78" s="16"/>
      <c r="H78" s="16"/>
    </row>
    <row r="79" spans="1:8" x14ac:dyDescent="0.25">
      <c r="A79" s="20"/>
      <c r="B79" s="16"/>
      <c r="C79" s="16"/>
      <c r="D79" s="18"/>
      <c r="E79" s="18"/>
      <c r="F79" s="20"/>
      <c r="G79" s="16"/>
      <c r="H79" s="16"/>
    </row>
    <row r="80" spans="1:8" x14ac:dyDescent="0.25">
      <c r="A80" s="20"/>
      <c r="B80" s="16"/>
      <c r="C80" s="16"/>
      <c r="D80" s="18"/>
      <c r="E80" s="18"/>
      <c r="F80" s="20"/>
      <c r="G80" s="16"/>
      <c r="H80" s="16"/>
    </row>
    <row r="81" spans="1:8" x14ac:dyDescent="0.25">
      <c r="A81" s="20"/>
      <c r="B81" s="16"/>
      <c r="C81" s="16"/>
      <c r="D81" s="18"/>
      <c r="E81" s="18"/>
      <c r="F81" s="20"/>
      <c r="G81" s="16"/>
      <c r="H81" s="16"/>
    </row>
    <row r="82" spans="1:8" x14ac:dyDescent="0.25">
      <c r="A82" s="20"/>
      <c r="B82" s="16"/>
      <c r="C82" s="16"/>
      <c r="D82" s="18"/>
      <c r="E82" s="18"/>
      <c r="F82" s="20"/>
      <c r="G82" s="16"/>
      <c r="H82" s="16"/>
    </row>
    <row r="83" spans="1:8" x14ac:dyDescent="0.25">
      <c r="A83" s="20"/>
      <c r="B83" s="16"/>
      <c r="C83" s="16"/>
      <c r="D83" s="18"/>
      <c r="E83" s="18"/>
      <c r="F83" s="20"/>
      <c r="G83" s="16"/>
      <c r="H83" s="16"/>
    </row>
    <row r="84" spans="1:8" x14ac:dyDescent="0.25">
      <c r="A84" s="20"/>
      <c r="B84" s="16"/>
      <c r="C84" s="16"/>
      <c r="D84" s="18"/>
      <c r="E84" s="18"/>
      <c r="F84" s="20"/>
      <c r="G84" s="16"/>
      <c r="H84" s="16"/>
    </row>
    <row r="85" spans="1:8" x14ac:dyDescent="0.25">
      <c r="A85" s="20"/>
      <c r="B85" s="16"/>
      <c r="C85" s="16"/>
      <c r="D85" s="18"/>
      <c r="E85" s="18"/>
      <c r="F85" s="20"/>
      <c r="G85" s="16"/>
      <c r="H85" s="16"/>
    </row>
    <row r="86" spans="1:8" x14ac:dyDescent="0.25">
      <c r="A86" s="20"/>
      <c r="B86" s="16"/>
      <c r="C86" s="16"/>
      <c r="D86" s="18"/>
      <c r="E86" s="18"/>
      <c r="F86" s="20"/>
      <c r="G86" s="16"/>
      <c r="H86" s="16"/>
    </row>
    <row r="87" spans="1:8" x14ac:dyDescent="0.25">
      <c r="A87" s="20"/>
      <c r="B87" s="16"/>
      <c r="C87" s="16"/>
      <c r="D87" s="18"/>
      <c r="E87" s="18"/>
      <c r="F87" s="20"/>
      <c r="G87" s="16"/>
      <c r="H87" s="16"/>
    </row>
    <row r="88" spans="1:8" x14ac:dyDescent="0.25">
      <c r="A88" s="20"/>
      <c r="B88" s="16"/>
      <c r="C88" s="16"/>
      <c r="D88" s="18"/>
      <c r="E88" s="18"/>
      <c r="F88" s="20"/>
      <c r="G88" s="16"/>
      <c r="H88" s="16"/>
    </row>
    <row r="89" spans="1:8" x14ac:dyDescent="0.25">
      <c r="A89" s="20"/>
      <c r="B89" s="16"/>
      <c r="C89" s="16"/>
      <c r="D89" s="18"/>
      <c r="E89" s="18"/>
      <c r="F89" s="20"/>
      <c r="G89" s="16"/>
      <c r="H89" s="16"/>
    </row>
    <row r="90" spans="1:8" x14ac:dyDescent="0.25">
      <c r="A90" s="20"/>
      <c r="B90" s="16"/>
      <c r="C90" s="16"/>
      <c r="D90" s="18"/>
      <c r="E90" s="18"/>
      <c r="F90" s="20"/>
      <c r="G90" s="16"/>
      <c r="H90" s="16"/>
    </row>
    <row r="91" spans="1:8" x14ac:dyDescent="0.25">
      <c r="A91" s="20"/>
      <c r="B91" s="16"/>
      <c r="C91" s="16"/>
      <c r="D91" s="18"/>
      <c r="E91" s="18"/>
      <c r="F91" s="20"/>
      <c r="G91" s="16"/>
      <c r="H91" s="16"/>
    </row>
    <row r="92" spans="1:8" x14ac:dyDescent="0.25">
      <c r="A92" s="20"/>
      <c r="B92" s="16"/>
      <c r="C92" s="16"/>
      <c r="D92" s="18"/>
      <c r="E92" s="18"/>
      <c r="F92" s="20"/>
      <c r="G92" s="16"/>
      <c r="H92" s="16"/>
    </row>
    <row r="93" spans="1:8" x14ac:dyDescent="0.25">
      <c r="A93" s="20"/>
      <c r="B93" s="16"/>
      <c r="C93" s="16"/>
      <c r="D93" s="18"/>
      <c r="E93" s="18"/>
      <c r="F93" s="20"/>
      <c r="G93" s="16"/>
      <c r="H93" s="16"/>
    </row>
    <row r="94" spans="1:8" x14ac:dyDescent="0.25">
      <c r="A94" s="20"/>
      <c r="B94" s="16"/>
      <c r="C94" s="16"/>
      <c r="D94" s="18"/>
      <c r="E94" s="18"/>
      <c r="F94" s="20"/>
      <c r="G94" s="16"/>
      <c r="H94" s="16"/>
    </row>
    <row r="95" spans="1:8" x14ac:dyDescent="0.25">
      <c r="A95" s="20"/>
      <c r="B95" s="16"/>
      <c r="C95" s="16"/>
      <c r="D95" s="18"/>
      <c r="E95" s="18"/>
      <c r="F95" s="20"/>
      <c r="G95" s="16"/>
      <c r="H95" s="16"/>
    </row>
    <row r="96" spans="1:8" x14ac:dyDescent="0.25">
      <c r="A96" s="20"/>
      <c r="B96" s="16"/>
      <c r="C96" s="16"/>
      <c r="D96" s="18"/>
      <c r="E96" s="18"/>
      <c r="F96" s="20"/>
      <c r="G96" s="16"/>
      <c r="H96" s="16"/>
    </row>
    <row r="97" spans="1:8" x14ac:dyDescent="0.25">
      <c r="A97" s="20"/>
      <c r="B97" s="16"/>
      <c r="C97" s="16"/>
      <c r="D97" s="18"/>
      <c r="E97" s="18"/>
      <c r="F97" s="20"/>
      <c r="G97" s="16"/>
      <c r="H97" s="16"/>
    </row>
    <row r="98" spans="1:8" x14ac:dyDescent="0.25">
      <c r="A98" s="20"/>
      <c r="B98" s="16"/>
      <c r="C98" s="16"/>
      <c r="D98" s="18"/>
      <c r="E98" s="18"/>
      <c r="F98" s="20"/>
      <c r="G98" s="16"/>
      <c r="H98" s="16"/>
    </row>
    <row r="99" spans="1:8" x14ac:dyDescent="0.25">
      <c r="A99" s="20"/>
      <c r="B99" s="16"/>
      <c r="C99" s="16"/>
      <c r="D99" s="18"/>
      <c r="E99" s="18"/>
      <c r="F99" s="20"/>
      <c r="G99" s="16"/>
      <c r="H99" s="16"/>
    </row>
    <row r="100" spans="1:8" x14ac:dyDescent="0.25">
      <c r="A100" s="20"/>
      <c r="B100" s="16"/>
      <c r="C100" s="16"/>
      <c r="D100" s="18"/>
      <c r="E100" s="18"/>
      <c r="F100" s="20"/>
      <c r="G100" s="16"/>
      <c r="H100" s="16"/>
    </row>
    <row r="101" spans="1:8" x14ac:dyDescent="0.25">
      <c r="A101" s="20"/>
      <c r="B101" s="16"/>
      <c r="C101" s="16"/>
      <c r="D101" s="18"/>
      <c r="E101" s="18"/>
      <c r="F101" s="20"/>
      <c r="G101" s="16"/>
      <c r="H101" s="16"/>
    </row>
    <row r="102" spans="1:8" x14ac:dyDescent="0.25">
      <c r="A102" s="20"/>
      <c r="B102" s="16"/>
      <c r="C102" s="16"/>
      <c r="D102" s="18"/>
      <c r="E102" s="18"/>
      <c r="F102" s="20"/>
      <c r="G102" s="16"/>
      <c r="H102" s="16"/>
    </row>
    <row r="103" spans="1:8" x14ac:dyDescent="0.25">
      <c r="A103" s="20"/>
      <c r="B103" s="16"/>
      <c r="C103" s="16"/>
      <c r="D103" s="18"/>
      <c r="E103" s="18"/>
      <c r="F103" s="20"/>
      <c r="G103" s="16"/>
      <c r="H103" s="16"/>
    </row>
    <row r="104" spans="1:8" x14ac:dyDescent="0.25">
      <c r="A104" s="20"/>
      <c r="B104" s="16"/>
      <c r="C104" s="16"/>
      <c r="D104" s="18"/>
      <c r="E104" s="18"/>
      <c r="F104" s="20"/>
      <c r="G104" s="16"/>
      <c r="H104" s="16"/>
    </row>
    <row r="105" spans="1:8" x14ac:dyDescent="0.25">
      <c r="A105" s="20"/>
      <c r="B105" s="16"/>
      <c r="C105" s="16"/>
      <c r="D105" s="18"/>
      <c r="E105" s="18"/>
      <c r="F105" s="20"/>
      <c r="G105" s="16"/>
      <c r="H105" s="16"/>
    </row>
    <row r="106" spans="1:8" x14ac:dyDescent="0.25">
      <c r="A106" s="20"/>
      <c r="B106" s="16"/>
      <c r="C106" s="16"/>
      <c r="D106" s="18"/>
      <c r="E106" s="18"/>
      <c r="F106" s="20"/>
      <c r="G106" s="16"/>
      <c r="H106" s="16"/>
    </row>
    <row r="107" spans="1:8" x14ac:dyDescent="0.25">
      <c r="A107" s="20"/>
      <c r="B107" s="16"/>
      <c r="C107" s="16"/>
      <c r="D107" s="18"/>
      <c r="E107" s="18"/>
      <c r="F107" s="20"/>
      <c r="G107" s="16"/>
      <c r="H107" s="16"/>
    </row>
    <row r="108" spans="1:8" x14ac:dyDescent="0.25">
      <c r="A108" s="20"/>
      <c r="B108" s="16"/>
      <c r="C108" s="16"/>
      <c r="D108" s="18"/>
      <c r="E108" s="18"/>
      <c r="F108" s="20"/>
      <c r="G108" s="16"/>
      <c r="H108" s="16"/>
    </row>
    <row r="109" spans="1:8" x14ac:dyDescent="0.25">
      <c r="A109" s="20"/>
      <c r="B109" s="16"/>
      <c r="C109" s="16"/>
      <c r="D109" s="18"/>
      <c r="E109" s="18"/>
      <c r="F109" s="20"/>
      <c r="G109" s="16"/>
      <c r="H109" s="16"/>
    </row>
    <row r="110" spans="1:8" x14ac:dyDescent="0.25">
      <c r="A110" s="20"/>
      <c r="B110" s="16"/>
      <c r="C110" s="16"/>
      <c r="D110" s="18"/>
      <c r="E110" s="18"/>
      <c r="F110" s="20"/>
      <c r="G110" s="16"/>
      <c r="H110" s="16"/>
    </row>
    <row r="111" spans="1:8" x14ac:dyDescent="0.25">
      <c r="A111" s="20"/>
      <c r="B111" s="16"/>
      <c r="C111" s="16"/>
      <c r="D111" s="18"/>
      <c r="E111" s="18"/>
      <c r="F111" s="20"/>
      <c r="G111" s="16"/>
      <c r="H111" s="16"/>
    </row>
    <row r="112" spans="1:8" x14ac:dyDescent="0.25">
      <c r="A112" s="20"/>
      <c r="B112" s="16"/>
      <c r="C112" s="16"/>
      <c r="D112" s="18"/>
      <c r="E112" s="18"/>
      <c r="F112" s="20"/>
      <c r="G112" s="16"/>
      <c r="H112" s="16"/>
    </row>
    <row r="113" spans="1:8" x14ac:dyDescent="0.25">
      <c r="A113" s="20"/>
      <c r="B113" s="16"/>
      <c r="C113" s="16"/>
      <c r="D113" s="18"/>
      <c r="E113" s="18"/>
      <c r="F113" s="20"/>
      <c r="G113" s="16"/>
      <c r="H113" s="16"/>
    </row>
    <row r="114" spans="1:8" x14ac:dyDescent="0.25">
      <c r="A114" s="20"/>
      <c r="B114" s="16"/>
      <c r="C114" s="16"/>
      <c r="D114" s="18"/>
      <c r="E114" s="18"/>
      <c r="F114" s="20"/>
      <c r="G114" s="16"/>
      <c r="H114" s="16"/>
    </row>
    <row r="115" spans="1:8" x14ac:dyDescent="0.25">
      <c r="A115" s="20"/>
      <c r="B115" s="16"/>
      <c r="C115" s="16"/>
      <c r="D115" s="18"/>
      <c r="E115" s="18"/>
      <c r="F115" s="20"/>
      <c r="G115" s="16"/>
      <c r="H115" s="16"/>
    </row>
    <row r="116" spans="1:8" x14ac:dyDescent="0.25">
      <c r="A116" s="20"/>
      <c r="B116" s="16"/>
      <c r="C116" s="16"/>
      <c r="D116" s="18"/>
      <c r="E116" s="18"/>
      <c r="F116" s="20"/>
      <c r="G116" s="16"/>
      <c r="H116" s="16"/>
    </row>
    <row r="117" spans="1:8" x14ac:dyDescent="0.25">
      <c r="A117" s="20"/>
      <c r="B117" s="16"/>
      <c r="C117" s="16"/>
      <c r="D117" s="18"/>
      <c r="E117" s="18"/>
      <c r="F117" s="20"/>
      <c r="G117" s="16"/>
      <c r="H117" s="16"/>
    </row>
    <row r="118" spans="1:8" x14ac:dyDescent="0.25">
      <c r="A118" s="20"/>
      <c r="B118" s="16"/>
      <c r="C118" s="16"/>
      <c r="D118" s="18"/>
      <c r="E118" s="18"/>
      <c r="F118" s="20"/>
      <c r="G118" s="16"/>
      <c r="H118" s="16"/>
    </row>
    <row r="119" spans="1:8" x14ac:dyDescent="0.25">
      <c r="A119" s="20"/>
      <c r="B119" s="16"/>
      <c r="C119" s="16"/>
      <c r="D119" s="18"/>
      <c r="E119" s="18"/>
      <c r="F119" s="20"/>
      <c r="G119" s="16"/>
      <c r="H119" s="16"/>
    </row>
    <row r="120" spans="1:8" x14ac:dyDescent="0.25">
      <c r="A120" s="20"/>
      <c r="B120" s="16"/>
      <c r="C120" s="16"/>
      <c r="D120" s="18"/>
      <c r="E120" s="18"/>
      <c r="F120" s="20"/>
      <c r="G120" s="16"/>
      <c r="H120" s="16"/>
    </row>
    <row r="121" spans="1:8" x14ac:dyDescent="0.25">
      <c r="A121" s="20"/>
      <c r="B121" s="16"/>
      <c r="C121" s="16"/>
      <c r="D121" s="18"/>
      <c r="E121" s="18"/>
      <c r="F121" s="20"/>
      <c r="G121" s="16"/>
      <c r="H121" s="16"/>
    </row>
    <row r="122" spans="1:8" x14ac:dyDescent="0.25">
      <c r="A122" s="20"/>
      <c r="B122" s="16"/>
      <c r="C122" s="16"/>
      <c r="D122" s="18"/>
      <c r="E122" s="18"/>
      <c r="F122" s="20"/>
      <c r="G122" s="16"/>
      <c r="H122" s="16"/>
    </row>
    <row r="123" spans="1:8" x14ac:dyDescent="0.25">
      <c r="A123" s="20"/>
      <c r="B123" s="16"/>
      <c r="C123" s="16"/>
      <c r="D123" s="18"/>
      <c r="E123" s="18"/>
      <c r="F123" s="20"/>
      <c r="G123" s="16"/>
      <c r="H123" s="16"/>
    </row>
    <row r="124" spans="1:8" x14ac:dyDescent="0.25">
      <c r="A124" s="20"/>
      <c r="B124" s="16"/>
      <c r="C124" s="16"/>
      <c r="D124" s="18"/>
      <c r="E124" s="18"/>
      <c r="F124" s="20"/>
      <c r="G124" s="16"/>
      <c r="H124" s="16"/>
    </row>
    <row r="125" spans="1:8" x14ac:dyDescent="0.25">
      <c r="A125" s="20"/>
      <c r="B125" s="16"/>
      <c r="C125" s="16"/>
      <c r="D125" s="18"/>
      <c r="E125" s="18"/>
      <c r="F125" s="20"/>
      <c r="G125" s="16"/>
      <c r="H125" s="16"/>
    </row>
    <row r="126" spans="1:8" x14ac:dyDescent="0.25">
      <c r="A126" s="20"/>
      <c r="B126" s="16"/>
      <c r="C126" s="16"/>
      <c r="D126" s="18"/>
      <c r="E126" s="18"/>
      <c r="F126" s="20"/>
      <c r="G126" s="16"/>
      <c r="H126" s="16"/>
    </row>
    <row r="127" spans="1:8" x14ac:dyDescent="0.25">
      <c r="A127" s="20"/>
      <c r="B127" s="16"/>
      <c r="C127" s="16"/>
      <c r="D127" s="18"/>
      <c r="E127" s="18"/>
      <c r="F127" s="20"/>
      <c r="G127" s="16"/>
      <c r="H127" s="16"/>
    </row>
    <row r="128" spans="1:8" x14ac:dyDescent="0.25">
      <c r="A128" s="20"/>
      <c r="B128" s="16"/>
      <c r="C128" s="16"/>
      <c r="D128" s="18"/>
      <c r="E128" s="18"/>
      <c r="F128" s="20"/>
      <c r="G128" s="16"/>
      <c r="H128" s="16"/>
    </row>
    <row r="129" spans="1:8" x14ac:dyDescent="0.25">
      <c r="A129" s="20"/>
      <c r="B129" s="16"/>
      <c r="C129" s="16"/>
      <c r="D129" s="18"/>
      <c r="E129" s="18"/>
      <c r="F129" s="20"/>
      <c r="G129" s="16"/>
      <c r="H129" s="16"/>
    </row>
    <row r="130" spans="1:8" x14ac:dyDescent="0.25">
      <c r="A130" s="20"/>
      <c r="B130" s="16"/>
      <c r="C130" s="16"/>
      <c r="D130" s="18"/>
      <c r="E130" s="18"/>
      <c r="F130" s="20"/>
      <c r="G130" s="16"/>
      <c r="H130" s="16"/>
    </row>
    <row r="131" spans="1:8" x14ac:dyDescent="0.25">
      <c r="A131" s="20"/>
      <c r="B131" s="16"/>
      <c r="C131" s="16"/>
      <c r="D131" s="18"/>
      <c r="E131" s="18"/>
      <c r="F131" s="20"/>
      <c r="G131" s="16"/>
      <c r="H131" s="16"/>
    </row>
    <row r="132" spans="1:8" x14ac:dyDescent="0.25">
      <c r="A132" s="20"/>
      <c r="B132" s="16"/>
      <c r="C132" s="16"/>
      <c r="D132" s="18"/>
      <c r="E132" s="18"/>
      <c r="F132" s="20"/>
      <c r="G132" s="16"/>
      <c r="H132" s="16"/>
    </row>
    <row r="133" spans="1:8" x14ac:dyDescent="0.25">
      <c r="A133" s="20"/>
      <c r="B133" s="16"/>
      <c r="C133" s="16"/>
      <c r="D133" s="18"/>
      <c r="E133" s="18"/>
      <c r="F133" s="20"/>
      <c r="G133" s="16"/>
      <c r="H133" s="16"/>
    </row>
    <row r="134" spans="1:8" x14ac:dyDescent="0.25">
      <c r="A134" s="20"/>
      <c r="B134" s="16"/>
      <c r="C134" s="16"/>
      <c r="D134" s="18"/>
      <c r="E134" s="18"/>
      <c r="F134" s="20"/>
      <c r="G134" s="16"/>
      <c r="H134" s="16"/>
    </row>
    <row r="135" spans="1:8" x14ac:dyDescent="0.25">
      <c r="A135" s="20"/>
      <c r="B135" s="16"/>
      <c r="C135" s="16"/>
      <c r="D135" s="18"/>
      <c r="E135" s="18"/>
      <c r="F135" s="20"/>
      <c r="G135" s="16"/>
      <c r="H135" s="16"/>
    </row>
    <row r="136" spans="1:8" x14ac:dyDescent="0.25">
      <c r="A136" s="20"/>
      <c r="B136" s="16"/>
      <c r="C136" s="16"/>
      <c r="D136" s="18"/>
      <c r="E136" s="18"/>
      <c r="F136" s="20"/>
      <c r="G136" s="16"/>
      <c r="H136" s="16"/>
    </row>
    <row r="137" spans="1:8" x14ac:dyDescent="0.25">
      <c r="A137" s="20"/>
      <c r="B137" s="16"/>
      <c r="C137" s="16"/>
      <c r="D137" s="18"/>
      <c r="E137" s="18"/>
      <c r="F137" s="20"/>
      <c r="G137" s="16"/>
      <c r="H137" s="16"/>
    </row>
    <row r="138" spans="1:8" x14ac:dyDescent="0.25">
      <c r="A138" s="20"/>
      <c r="B138" s="16"/>
      <c r="C138" s="16"/>
      <c r="D138" s="18"/>
      <c r="E138" s="18"/>
      <c r="F138" s="20"/>
      <c r="G138" s="16"/>
      <c r="H138" s="16"/>
    </row>
    <row r="139" spans="1:8" x14ac:dyDescent="0.25">
      <c r="A139" s="20"/>
      <c r="B139" s="16"/>
      <c r="C139" s="16"/>
      <c r="D139" s="18"/>
      <c r="E139" s="18"/>
      <c r="F139" s="20"/>
      <c r="G139" s="16"/>
      <c r="H139" s="16"/>
    </row>
    <row r="140" spans="1:8" x14ac:dyDescent="0.25">
      <c r="A140" s="20"/>
      <c r="B140" s="16"/>
      <c r="C140" s="16"/>
      <c r="D140" s="18"/>
      <c r="E140" s="18"/>
      <c r="F140" s="20"/>
      <c r="G140" s="16"/>
      <c r="H140" s="16"/>
    </row>
    <row r="141" spans="1:8" x14ac:dyDescent="0.25">
      <c r="A141" s="20"/>
      <c r="B141" s="16"/>
      <c r="C141" s="16"/>
      <c r="D141" s="18"/>
      <c r="E141" s="18"/>
      <c r="F141" s="20"/>
      <c r="G141" s="16"/>
      <c r="H141" s="16"/>
    </row>
    <row r="142" spans="1:8" x14ac:dyDescent="0.25">
      <c r="A142" s="20"/>
      <c r="B142" s="16"/>
      <c r="C142" s="16"/>
      <c r="D142" s="18"/>
      <c r="E142" s="18"/>
      <c r="F142" s="20"/>
      <c r="G142" s="16"/>
      <c r="H142" s="16"/>
    </row>
    <row r="143" spans="1:8" x14ac:dyDescent="0.25">
      <c r="A143" s="20"/>
      <c r="B143" s="16"/>
      <c r="C143" s="16"/>
      <c r="D143" s="18"/>
      <c r="E143" s="18"/>
      <c r="F143" s="20"/>
      <c r="G143" s="16"/>
      <c r="H143" s="16"/>
    </row>
    <row r="144" spans="1:8" x14ac:dyDescent="0.25">
      <c r="A144" s="20"/>
      <c r="B144" s="16"/>
      <c r="C144" s="16"/>
      <c r="D144" s="18"/>
      <c r="E144" s="18"/>
      <c r="F144" s="20"/>
      <c r="G144" s="16"/>
      <c r="H144" s="16"/>
    </row>
    <row r="145" spans="1:8" x14ac:dyDescent="0.25">
      <c r="A145" s="20"/>
      <c r="B145" s="16"/>
      <c r="C145" s="16"/>
      <c r="D145" s="18"/>
      <c r="E145" s="18"/>
      <c r="F145" s="20"/>
      <c r="G145" s="16"/>
      <c r="H145" s="16"/>
    </row>
    <row r="146" spans="1:8" x14ac:dyDescent="0.25">
      <c r="A146" s="20"/>
      <c r="B146" s="16"/>
      <c r="C146" s="16"/>
      <c r="D146" s="18"/>
      <c r="E146" s="18"/>
      <c r="F146" s="20"/>
      <c r="G146" s="16"/>
      <c r="H146" s="16"/>
    </row>
    <row r="147" spans="1:8" x14ac:dyDescent="0.25">
      <c r="A147" s="20"/>
      <c r="B147" s="16"/>
      <c r="C147" s="16"/>
      <c r="D147" s="18"/>
      <c r="E147" s="18"/>
      <c r="F147" s="20"/>
      <c r="G147" s="16"/>
      <c r="H147" s="16"/>
    </row>
    <row r="148" spans="1:8" x14ac:dyDescent="0.25">
      <c r="A148" s="20"/>
      <c r="B148" s="16"/>
      <c r="C148" s="16"/>
      <c r="D148" s="18"/>
      <c r="E148" s="18"/>
      <c r="F148" s="20"/>
      <c r="G148" s="16"/>
      <c r="H148" s="16"/>
    </row>
    <row r="149" spans="1:8" x14ac:dyDescent="0.25">
      <c r="A149" s="20"/>
      <c r="B149" s="16"/>
      <c r="C149" s="16"/>
      <c r="D149" s="18"/>
      <c r="E149" s="18"/>
      <c r="F149" s="20"/>
      <c r="G149" s="16"/>
      <c r="H149" s="16"/>
    </row>
    <row r="150" spans="1:8" x14ac:dyDescent="0.25">
      <c r="A150" s="20"/>
      <c r="B150" s="16"/>
      <c r="C150" s="16"/>
      <c r="D150" s="18"/>
      <c r="E150" s="18"/>
      <c r="F150" s="20"/>
      <c r="G150" s="16"/>
      <c r="H150" s="16"/>
    </row>
    <row r="151" spans="1:8" x14ac:dyDescent="0.25">
      <c r="A151" s="20"/>
      <c r="B151" s="16"/>
      <c r="C151" s="16"/>
      <c r="D151" s="18"/>
      <c r="E151" s="18"/>
      <c r="F151" s="20"/>
      <c r="G151" s="16"/>
      <c r="H151" s="16"/>
    </row>
    <row r="152" spans="1:8" x14ac:dyDescent="0.25">
      <c r="A152" s="20"/>
      <c r="B152" s="16"/>
      <c r="C152" s="16"/>
      <c r="D152" s="18"/>
      <c r="E152" s="18"/>
      <c r="F152" s="20"/>
      <c r="G152" s="16"/>
      <c r="H152" s="16"/>
    </row>
    <row r="153" spans="1:8" x14ac:dyDescent="0.25">
      <c r="A153" s="20"/>
      <c r="B153" s="16"/>
      <c r="C153" s="16"/>
      <c r="D153" s="18"/>
      <c r="E153" s="18"/>
      <c r="F153" s="20"/>
      <c r="G153" s="16"/>
      <c r="H153" s="16"/>
    </row>
    <row r="154" spans="1:8" x14ac:dyDescent="0.25">
      <c r="A154" s="20"/>
      <c r="B154" s="16"/>
      <c r="C154" s="16"/>
      <c r="D154" s="18"/>
      <c r="E154" s="18"/>
      <c r="F154" s="20"/>
      <c r="G154" s="16"/>
      <c r="H154" s="16"/>
    </row>
    <row r="155" spans="1:8" x14ac:dyDescent="0.25">
      <c r="A155" s="20"/>
      <c r="B155" s="16"/>
      <c r="C155" s="16"/>
      <c r="D155" s="18"/>
      <c r="E155" s="18"/>
      <c r="F155" s="20"/>
      <c r="G155" s="16"/>
      <c r="H155" s="16"/>
    </row>
    <row r="156" spans="1:8" x14ac:dyDescent="0.25">
      <c r="A156" s="20"/>
      <c r="B156" s="16"/>
      <c r="C156" s="16"/>
      <c r="D156" s="18"/>
      <c r="E156" s="18"/>
      <c r="F156" s="20"/>
      <c r="G156" s="16"/>
      <c r="H156" s="16"/>
    </row>
    <row r="157" spans="1:8" x14ac:dyDescent="0.25">
      <c r="A157" s="20"/>
      <c r="B157" s="16"/>
      <c r="C157" s="16"/>
      <c r="D157" s="18"/>
      <c r="E157" s="18"/>
      <c r="F157" s="20"/>
      <c r="G157" s="16"/>
      <c r="H157" s="16"/>
    </row>
    <row r="158" spans="1:8" x14ac:dyDescent="0.25">
      <c r="A158" s="20"/>
      <c r="B158" s="16"/>
      <c r="C158" s="16"/>
      <c r="D158" s="18"/>
      <c r="E158" s="18"/>
      <c r="F158" s="20"/>
      <c r="G158" s="16"/>
      <c r="H158" s="16"/>
    </row>
    <row r="159" spans="1:8" x14ac:dyDescent="0.25">
      <c r="A159" s="20"/>
      <c r="B159" s="16"/>
      <c r="C159" s="16"/>
      <c r="D159" s="18"/>
      <c r="E159" s="18"/>
      <c r="F159" s="20"/>
      <c r="G159" s="16"/>
      <c r="H159" s="16"/>
    </row>
    <row r="160" spans="1:8" x14ac:dyDescent="0.25">
      <c r="A160" s="20"/>
      <c r="B160" s="16"/>
      <c r="C160" s="16"/>
      <c r="D160" s="18"/>
      <c r="E160" s="18"/>
      <c r="F160" s="20"/>
      <c r="G160" s="16"/>
      <c r="H160" s="16"/>
    </row>
    <row r="161" spans="1:8" x14ac:dyDescent="0.25">
      <c r="A161" s="20"/>
      <c r="B161" s="16"/>
      <c r="C161" s="16"/>
      <c r="D161" s="18"/>
      <c r="E161" s="18"/>
      <c r="F161" s="20"/>
      <c r="G161" s="16"/>
      <c r="H161" s="16"/>
    </row>
    <row r="162" spans="1:8" x14ac:dyDescent="0.25">
      <c r="A162" s="20"/>
      <c r="B162" s="16"/>
      <c r="C162" s="16"/>
      <c r="D162" s="18"/>
      <c r="E162" s="18"/>
      <c r="F162" s="20"/>
      <c r="G162" s="16"/>
      <c r="H162" s="16"/>
    </row>
    <row r="163" spans="1:8" x14ac:dyDescent="0.25">
      <c r="A163" s="20"/>
      <c r="B163" s="16"/>
      <c r="C163" s="16"/>
      <c r="D163" s="18"/>
      <c r="E163" s="18"/>
      <c r="F163" s="20"/>
      <c r="G163" s="16"/>
      <c r="H163" s="16"/>
    </row>
    <row r="164" spans="1:8" x14ac:dyDescent="0.25">
      <c r="A164" s="20"/>
      <c r="B164" s="16"/>
      <c r="C164" s="16"/>
      <c r="D164" s="18"/>
      <c r="E164" s="18"/>
      <c r="F164" s="20"/>
      <c r="G164" s="16"/>
      <c r="H164" s="16"/>
    </row>
    <row r="165" spans="1:8" x14ac:dyDescent="0.25">
      <c r="A165" s="20"/>
      <c r="B165" s="16"/>
      <c r="C165" s="16"/>
      <c r="D165" s="18"/>
      <c r="E165" s="18"/>
      <c r="F165" s="20"/>
      <c r="G165" s="16"/>
      <c r="H165" s="16"/>
    </row>
    <row r="166" spans="1:8" x14ac:dyDescent="0.25">
      <c r="A166" s="20"/>
      <c r="B166" s="16"/>
      <c r="C166" s="16"/>
      <c r="D166" s="18"/>
      <c r="E166" s="18"/>
      <c r="F166" s="20"/>
      <c r="G166" s="16"/>
      <c r="H166" s="16"/>
    </row>
    <row r="167" spans="1:8" x14ac:dyDescent="0.25">
      <c r="A167" s="20"/>
      <c r="B167" s="16"/>
      <c r="C167" s="16"/>
      <c r="D167" s="18"/>
      <c r="E167" s="18"/>
      <c r="F167" s="20"/>
      <c r="G167" s="16"/>
      <c r="H167" s="16"/>
    </row>
    <row r="168" spans="1:8" x14ac:dyDescent="0.25">
      <c r="A168" s="20"/>
      <c r="B168" s="16"/>
      <c r="C168" s="16"/>
      <c r="D168" s="18"/>
      <c r="E168" s="18"/>
      <c r="F168" s="20"/>
      <c r="G168" s="16"/>
      <c r="H168" s="16"/>
    </row>
    <row r="169" spans="1:8" x14ac:dyDescent="0.25">
      <c r="A169" s="20"/>
      <c r="B169" s="16"/>
      <c r="C169" s="16"/>
      <c r="D169" s="18"/>
      <c r="E169" s="18"/>
      <c r="F169" s="20"/>
      <c r="G169" s="16"/>
      <c r="H169" s="16"/>
    </row>
    <row r="170" spans="1:8" x14ac:dyDescent="0.25">
      <c r="A170" s="20"/>
      <c r="B170" s="16"/>
      <c r="C170" s="16"/>
      <c r="D170" s="18"/>
      <c r="E170" s="18"/>
      <c r="F170" s="20"/>
      <c r="G170" s="16"/>
      <c r="H170" s="16"/>
    </row>
    <row r="171" spans="1:8" x14ac:dyDescent="0.25">
      <c r="A171" s="20"/>
      <c r="B171" s="16"/>
      <c r="C171" s="16"/>
      <c r="D171" s="18"/>
      <c r="E171" s="18"/>
      <c r="F171" s="20"/>
      <c r="G171" s="16"/>
      <c r="H171" s="16"/>
    </row>
    <row r="172" spans="1:8" x14ac:dyDescent="0.25">
      <c r="A172" s="20"/>
      <c r="B172" s="16"/>
      <c r="C172" s="16"/>
      <c r="D172" s="18"/>
      <c r="E172" s="18"/>
      <c r="F172" s="20"/>
      <c r="G172" s="16"/>
      <c r="H172" s="16"/>
    </row>
    <row r="173" spans="1:8" x14ac:dyDescent="0.25">
      <c r="A173" s="20"/>
      <c r="B173" s="16"/>
      <c r="C173" s="16"/>
      <c r="D173" s="18"/>
      <c r="E173" s="18"/>
      <c r="F173" s="20"/>
      <c r="G173" s="16"/>
      <c r="H173" s="16"/>
    </row>
    <row r="174" spans="1:8" x14ac:dyDescent="0.25">
      <c r="A174" s="20"/>
      <c r="B174" s="16"/>
      <c r="C174" s="16"/>
      <c r="D174" s="18"/>
      <c r="E174" s="18"/>
      <c r="F174" s="20"/>
      <c r="G174" s="16"/>
      <c r="H174" s="16"/>
    </row>
    <row r="175" spans="1:8" x14ac:dyDescent="0.25">
      <c r="A175" s="20"/>
      <c r="B175" s="16"/>
      <c r="C175" s="16"/>
      <c r="D175" s="18"/>
      <c r="E175" s="18"/>
      <c r="F175" s="20"/>
      <c r="G175" s="16"/>
      <c r="H175" s="16"/>
    </row>
    <row r="176" spans="1:8" x14ac:dyDescent="0.25">
      <c r="A176" s="20"/>
      <c r="B176" s="16"/>
      <c r="C176" s="16"/>
      <c r="D176" s="18"/>
      <c r="E176" s="18"/>
      <c r="F176" s="20"/>
      <c r="G176" s="16"/>
      <c r="H176" s="16"/>
    </row>
    <row r="177" spans="1:8" x14ac:dyDescent="0.25">
      <c r="A177" s="20"/>
      <c r="B177" s="16"/>
      <c r="C177" s="16"/>
      <c r="D177" s="18"/>
      <c r="E177" s="18"/>
      <c r="F177" s="20"/>
      <c r="G177" s="16"/>
      <c r="H177" s="16"/>
    </row>
    <row r="178" spans="1:8" x14ac:dyDescent="0.25">
      <c r="A178" s="20"/>
      <c r="B178" s="16"/>
      <c r="C178" s="16"/>
      <c r="D178" s="18"/>
      <c r="E178" s="18"/>
      <c r="F178" s="20"/>
      <c r="G178" s="16"/>
      <c r="H178" s="16"/>
    </row>
    <row r="179" spans="1:8" x14ac:dyDescent="0.25">
      <c r="A179" s="20"/>
      <c r="B179" s="16"/>
      <c r="C179" s="16"/>
      <c r="D179" s="18"/>
      <c r="E179" s="18"/>
      <c r="F179" s="20"/>
      <c r="G179" s="16"/>
      <c r="H179" s="16"/>
    </row>
    <row r="180" spans="1:8" x14ac:dyDescent="0.25">
      <c r="A180" s="20"/>
      <c r="B180" s="16"/>
      <c r="C180" s="16"/>
      <c r="D180" s="18"/>
      <c r="E180" s="18"/>
      <c r="F180" s="20"/>
      <c r="G180" s="16"/>
      <c r="H180" s="16"/>
    </row>
    <row r="181" spans="1:8" x14ac:dyDescent="0.25">
      <c r="A181" s="20"/>
      <c r="B181" s="16"/>
      <c r="C181" s="16"/>
      <c r="D181" s="18"/>
      <c r="E181" s="18"/>
      <c r="F181" s="20"/>
      <c r="G181" s="16"/>
      <c r="H181" s="16"/>
    </row>
    <row r="182" spans="1:8" x14ac:dyDescent="0.25">
      <c r="A182" s="20"/>
      <c r="B182" s="16"/>
      <c r="C182" s="16"/>
      <c r="D182" s="18"/>
      <c r="E182" s="18"/>
      <c r="F182" s="20"/>
      <c r="G182" s="16"/>
      <c r="H182" s="16"/>
    </row>
    <row r="183" spans="1:8" x14ac:dyDescent="0.25">
      <c r="A183" s="20"/>
      <c r="B183" s="16"/>
      <c r="C183" s="16"/>
      <c r="D183" s="18"/>
      <c r="E183" s="18"/>
      <c r="F183" s="20"/>
      <c r="G183" s="16"/>
      <c r="H183" s="16"/>
    </row>
    <row r="184" spans="1:8" x14ac:dyDescent="0.25">
      <c r="A184" s="20"/>
      <c r="B184" s="16"/>
      <c r="C184" s="16"/>
      <c r="D184" s="18"/>
      <c r="E184" s="18"/>
      <c r="F184" s="20"/>
      <c r="G184" s="16"/>
      <c r="H184" s="16"/>
    </row>
    <row r="185" spans="1:8" x14ac:dyDescent="0.25">
      <c r="A185" s="20"/>
      <c r="B185" s="16"/>
      <c r="C185" s="16"/>
      <c r="D185" s="18"/>
      <c r="E185" s="18"/>
      <c r="F185" s="20"/>
      <c r="G185" s="16"/>
      <c r="H185" s="16"/>
    </row>
    <row r="186" spans="1:8" x14ac:dyDescent="0.25">
      <c r="A186" s="20"/>
      <c r="B186" s="16"/>
      <c r="C186" s="16"/>
      <c r="D186" s="18"/>
      <c r="E186" s="18"/>
      <c r="F186" s="20"/>
      <c r="G186" s="16"/>
      <c r="H186" s="16"/>
    </row>
    <row r="187" spans="1:8" x14ac:dyDescent="0.25">
      <c r="A187" s="20"/>
      <c r="B187" s="16"/>
      <c r="C187" s="16"/>
      <c r="D187" s="18"/>
      <c r="E187" s="18"/>
      <c r="F187" s="20"/>
      <c r="G187" s="16"/>
      <c r="H187" s="16"/>
    </row>
    <row r="188" spans="1:8" x14ac:dyDescent="0.25">
      <c r="A188" s="20"/>
      <c r="B188" s="16"/>
      <c r="C188" s="16"/>
      <c r="D188" s="18"/>
      <c r="E188" s="18"/>
      <c r="F188" s="20"/>
      <c r="G188" s="16"/>
      <c r="H188" s="16"/>
    </row>
    <row r="189" spans="1:8" x14ac:dyDescent="0.25">
      <c r="A189" s="20"/>
      <c r="B189" s="16"/>
      <c r="C189" s="16"/>
      <c r="D189" s="18"/>
      <c r="E189" s="18"/>
      <c r="F189" s="20"/>
      <c r="G189" s="16"/>
      <c r="H189" s="16"/>
    </row>
    <row r="190" spans="1:8" x14ac:dyDescent="0.25">
      <c r="A190" s="20"/>
      <c r="B190" s="16"/>
      <c r="C190" s="16"/>
      <c r="D190" s="18"/>
      <c r="E190" s="18"/>
      <c r="F190" s="20"/>
      <c r="G190" s="16"/>
      <c r="H190" s="16"/>
    </row>
    <row r="191" spans="1:8" x14ac:dyDescent="0.25">
      <c r="A191" s="20"/>
      <c r="B191" s="16"/>
      <c r="C191" s="16"/>
      <c r="D191" s="18"/>
      <c r="E191" s="18"/>
      <c r="F191" s="20"/>
      <c r="G191" s="16"/>
      <c r="H191" s="16"/>
    </row>
    <row r="192" spans="1:8" x14ac:dyDescent="0.25">
      <c r="A192" s="20"/>
      <c r="B192" s="16"/>
      <c r="C192" s="16"/>
      <c r="D192" s="18"/>
      <c r="E192" s="18"/>
      <c r="F192" s="20"/>
      <c r="G192" s="16"/>
      <c r="H192" s="16"/>
    </row>
    <row r="193" spans="1:8" x14ac:dyDescent="0.25">
      <c r="A193" s="20"/>
      <c r="B193" s="16"/>
      <c r="C193" s="16"/>
      <c r="D193" s="18"/>
      <c r="E193" s="18"/>
      <c r="F193" s="20"/>
      <c r="G193" s="16"/>
      <c r="H193" s="16"/>
    </row>
    <row r="194" spans="1:8" x14ac:dyDescent="0.25">
      <c r="A194" s="20"/>
      <c r="B194" s="16"/>
      <c r="C194" s="16"/>
      <c r="D194" s="18"/>
      <c r="E194" s="18"/>
      <c r="F194" s="20"/>
      <c r="G194" s="16"/>
      <c r="H194" s="16"/>
    </row>
    <row r="195" spans="1:8" x14ac:dyDescent="0.25">
      <c r="A195" s="20"/>
      <c r="B195" s="16"/>
      <c r="C195" s="16"/>
      <c r="D195" s="18"/>
      <c r="E195" s="18"/>
      <c r="F195" s="20"/>
      <c r="G195" s="16"/>
      <c r="H195" s="16"/>
    </row>
    <row r="196" spans="1:8" x14ac:dyDescent="0.25">
      <c r="A196" s="20"/>
      <c r="B196" s="16"/>
      <c r="C196" s="16"/>
      <c r="D196" s="18"/>
      <c r="E196" s="18"/>
      <c r="F196" s="20"/>
      <c r="G196" s="16"/>
      <c r="H196" s="16"/>
    </row>
    <row r="197" spans="1:8" x14ac:dyDescent="0.25">
      <c r="A197" s="20"/>
      <c r="B197" s="16"/>
      <c r="C197" s="16"/>
      <c r="D197" s="18"/>
      <c r="E197" s="18"/>
      <c r="F197" s="20"/>
      <c r="G197" s="16"/>
      <c r="H197" s="16"/>
    </row>
    <row r="198" spans="1:8" x14ac:dyDescent="0.25">
      <c r="A198" s="20"/>
      <c r="B198" s="16"/>
      <c r="C198" s="16"/>
      <c r="D198" s="18"/>
      <c r="E198" s="18"/>
      <c r="F198" s="20"/>
      <c r="G198" s="16"/>
      <c r="H198" s="16"/>
    </row>
    <row r="199" spans="1:8" x14ac:dyDescent="0.25">
      <c r="A199" s="20"/>
      <c r="B199" s="16"/>
      <c r="C199" s="16"/>
      <c r="D199" s="18"/>
      <c r="E199" s="18"/>
      <c r="F199" s="20"/>
      <c r="G199" s="16"/>
      <c r="H199" s="16"/>
    </row>
    <row r="200" spans="1:8" x14ac:dyDescent="0.25">
      <c r="A200" s="20"/>
      <c r="B200" s="16"/>
      <c r="C200" s="16"/>
      <c r="D200" s="18"/>
      <c r="E200" s="18"/>
      <c r="F200" s="20"/>
      <c r="G200" s="16"/>
      <c r="H200" s="16"/>
    </row>
    <row r="201" spans="1:8" x14ac:dyDescent="0.25">
      <c r="A201" s="20"/>
      <c r="B201" s="16"/>
      <c r="C201" s="16"/>
      <c r="D201" s="18"/>
      <c r="E201" s="18"/>
      <c r="F201" s="20"/>
      <c r="G201" s="16"/>
      <c r="H201" s="16"/>
    </row>
    <row r="202" spans="1:8" x14ac:dyDescent="0.25">
      <c r="A202" s="20"/>
      <c r="B202" s="16"/>
      <c r="C202" s="16"/>
      <c r="D202" s="18"/>
      <c r="E202" s="18"/>
      <c r="F202" s="20"/>
      <c r="G202" s="16"/>
      <c r="H202" s="16"/>
    </row>
    <row r="203" spans="1:8" x14ac:dyDescent="0.25">
      <c r="A203" s="20"/>
      <c r="B203" s="16"/>
      <c r="C203" s="16"/>
      <c r="D203" s="18"/>
      <c r="E203" s="18"/>
      <c r="F203" s="20"/>
      <c r="G203" s="16"/>
      <c r="H203" s="16"/>
    </row>
    <row r="204" spans="1:8" x14ac:dyDescent="0.25">
      <c r="A204" s="20"/>
      <c r="B204" s="16"/>
      <c r="C204" s="16"/>
      <c r="D204" s="18"/>
      <c r="E204" s="18"/>
      <c r="F204" s="20"/>
      <c r="G204" s="16"/>
      <c r="H204" s="16"/>
    </row>
    <row r="205" spans="1:8" x14ac:dyDescent="0.25">
      <c r="A205" s="20"/>
      <c r="B205" s="16"/>
      <c r="C205" s="16"/>
      <c r="D205" s="18"/>
      <c r="E205" s="18"/>
      <c r="F205" s="20"/>
      <c r="G205" s="16"/>
      <c r="H205" s="16"/>
    </row>
    <row r="206" spans="1:8" x14ac:dyDescent="0.25">
      <c r="A206" s="20"/>
      <c r="B206" s="16"/>
      <c r="C206" s="16"/>
      <c r="D206" s="18"/>
      <c r="E206" s="18"/>
      <c r="F206" s="20"/>
      <c r="G206" s="16"/>
      <c r="H206" s="16"/>
    </row>
    <row r="207" spans="1:8" x14ac:dyDescent="0.25">
      <c r="A207" s="20"/>
      <c r="B207" s="16"/>
      <c r="C207" s="16"/>
      <c r="D207" s="18"/>
      <c r="E207" s="18"/>
      <c r="F207" s="20"/>
      <c r="G207" s="16"/>
      <c r="H207" s="16"/>
    </row>
    <row r="208" spans="1:8" x14ac:dyDescent="0.25">
      <c r="A208" s="20"/>
      <c r="B208" s="16"/>
      <c r="C208" s="16"/>
      <c r="D208" s="18"/>
      <c r="E208" s="18"/>
      <c r="F208" s="20"/>
      <c r="G208" s="16"/>
      <c r="H208" s="16"/>
    </row>
    <row r="209" spans="1:8" x14ac:dyDescent="0.25">
      <c r="A209" s="20"/>
      <c r="B209" s="16"/>
      <c r="C209" s="16"/>
      <c r="D209" s="18"/>
      <c r="E209" s="18"/>
      <c r="F209" s="20"/>
      <c r="G209" s="16"/>
      <c r="H209" s="16"/>
    </row>
    <row r="210" spans="1:8" x14ac:dyDescent="0.25">
      <c r="A210" s="20"/>
      <c r="B210" s="16"/>
      <c r="C210" s="16"/>
      <c r="D210" s="18"/>
      <c r="E210" s="18"/>
      <c r="F210" s="20"/>
      <c r="G210" s="16"/>
      <c r="H210" s="16"/>
    </row>
    <row r="211" spans="1:8" x14ac:dyDescent="0.25">
      <c r="A211" s="20"/>
      <c r="B211" s="16"/>
      <c r="C211" s="16"/>
      <c r="D211" s="18"/>
      <c r="E211" s="18"/>
      <c r="F211" s="20"/>
      <c r="G211" s="16"/>
      <c r="H211" s="16"/>
    </row>
    <row r="212" spans="1:8" x14ac:dyDescent="0.25">
      <c r="A212" s="20"/>
      <c r="B212" s="16"/>
      <c r="C212" s="16"/>
      <c r="D212" s="18"/>
      <c r="E212" s="18"/>
      <c r="F212" s="20"/>
      <c r="G212" s="16"/>
      <c r="H212" s="16"/>
    </row>
    <row r="213" spans="1:8" x14ac:dyDescent="0.25">
      <c r="A213" s="20"/>
      <c r="B213" s="16"/>
      <c r="C213" s="16"/>
      <c r="D213" s="18"/>
      <c r="E213" s="18"/>
      <c r="F213" s="20"/>
      <c r="G213" s="16"/>
      <c r="H213" s="16"/>
    </row>
    <row r="214" spans="1:8" x14ac:dyDescent="0.25">
      <c r="A214" s="20"/>
      <c r="B214" s="16"/>
      <c r="C214" s="16"/>
      <c r="D214" s="18"/>
      <c r="E214" s="18"/>
      <c r="F214" s="20"/>
      <c r="G214" s="16"/>
      <c r="H214" s="16"/>
    </row>
    <row r="215" spans="1:8" x14ac:dyDescent="0.25">
      <c r="A215" s="20"/>
      <c r="B215" s="16"/>
      <c r="C215" s="16"/>
      <c r="D215" s="18"/>
      <c r="E215" s="18"/>
      <c r="F215" s="20"/>
      <c r="G215" s="16"/>
      <c r="H215" s="16"/>
    </row>
    <row r="216" spans="1:8" x14ac:dyDescent="0.25">
      <c r="A216" s="20"/>
      <c r="B216" s="16"/>
      <c r="C216" s="16"/>
      <c r="D216" s="18"/>
      <c r="E216" s="18"/>
      <c r="F216" s="20"/>
      <c r="G216" s="16"/>
      <c r="H216" s="16"/>
    </row>
    <row r="217" spans="1:8" x14ac:dyDescent="0.25">
      <c r="A217" s="20"/>
      <c r="B217" s="16"/>
      <c r="C217" s="16"/>
      <c r="D217" s="18"/>
      <c r="E217" s="18"/>
      <c r="F217" s="20"/>
      <c r="G217" s="16"/>
      <c r="H217" s="16"/>
    </row>
    <row r="218" spans="1:8" x14ac:dyDescent="0.25">
      <c r="A218" s="20"/>
      <c r="B218" s="16"/>
      <c r="C218" s="16"/>
      <c r="D218" s="18"/>
      <c r="E218" s="18"/>
      <c r="F218" s="20"/>
      <c r="G218" s="16"/>
      <c r="H218" s="16"/>
    </row>
    <row r="219" spans="1:8" x14ac:dyDescent="0.25">
      <c r="A219" s="20"/>
      <c r="B219" s="16"/>
      <c r="C219" s="16"/>
      <c r="D219" s="18"/>
      <c r="E219" s="18"/>
      <c r="F219" s="20"/>
      <c r="G219" s="16"/>
      <c r="H219" s="16"/>
    </row>
    <row r="220" spans="1:8" x14ac:dyDescent="0.25">
      <c r="A220" s="20"/>
      <c r="B220" s="16"/>
      <c r="C220" s="16"/>
      <c r="D220" s="18"/>
      <c r="E220" s="18"/>
      <c r="F220" s="20"/>
      <c r="G220" s="16"/>
      <c r="H220" s="16"/>
    </row>
    <row r="221" spans="1:8" x14ac:dyDescent="0.25">
      <c r="A221" s="20"/>
      <c r="B221" s="16"/>
      <c r="C221" s="16"/>
      <c r="D221" s="18"/>
      <c r="E221" s="18"/>
      <c r="F221" s="20"/>
      <c r="G221" s="16"/>
      <c r="H221" s="16"/>
    </row>
    <row r="222" spans="1:8" x14ac:dyDescent="0.25">
      <c r="A222" s="20"/>
      <c r="B222" s="16"/>
      <c r="C222" s="16"/>
      <c r="D222" s="18"/>
      <c r="E222" s="18"/>
      <c r="F222" s="20"/>
      <c r="G222" s="16"/>
      <c r="H222" s="16"/>
    </row>
    <row r="223" spans="1:8" x14ac:dyDescent="0.25">
      <c r="A223" s="20"/>
      <c r="B223" s="16"/>
      <c r="C223" s="16"/>
      <c r="D223" s="18"/>
      <c r="E223" s="18"/>
      <c r="F223" s="20"/>
      <c r="G223" s="16"/>
      <c r="H223" s="16"/>
    </row>
    <row r="224" spans="1:8" x14ac:dyDescent="0.25">
      <c r="A224" s="20"/>
      <c r="B224" s="16"/>
      <c r="C224" s="16"/>
      <c r="D224" s="18"/>
      <c r="E224" s="18"/>
      <c r="F224" s="20"/>
      <c r="G224" s="16"/>
      <c r="H224" s="16"/>
    </row>
    <row r="225" spans="1:8" x14ac:dyDescent="0.25">
      <c r="A225" s="20"/>
      <c r="B225" s="16"/>
      <c r="C225" s="16"/>
      <c r="D225" s="18"/>
      <c r="E225" s="18"/>
      <c r="F225" s="20"/>
      <c r="G225" s="16"/>
      <c r="H225" s="16"/>
    </row>
    <row r="226" spans="1:8" x14ac:dyDescent="0.25">
      <c r="A226" s="20"/>
      <c r="B226" s="16"/>
      <c r="C226" s="16"/>
      <c r="D226" s="18"/>
      <c r="E226" s="18"/>
      <c r="F226" s="20"/>
      <c r="G226" s="16"/>
      <c r="H226" s="16"/>
    </row>
    <row r="227" spans="1:8" x14ac:dyDescent="0.25">
      <c r="A227" s="20"/>
      <c r="B227" s="16"/>
      <c r="C227" s="16"/>
      <c r="D227" s="18"/>
      <c r="E227" s="18"/>
      <c r="F227" s="20"/>
      <c r="G227" s="16"/>
      <c r="H227" s="16"/>
    </row>
    <row r="228" spans="1:8" x14ac:dyDescent="0.25">
      <c r="A228" s="20"/>
      <c r="B228" s="16"/>
      <c r="C228" s="16"/>
      <c r="D228" s="18"/>
      <c r="E228" s="18"/>
      <c r="F228" s="20"/>
      <c r="G228" s="16"/>
      <c r="H228" s="16"/>
    </row>
    <row r="229" spans="1:8" x14ac:dyDescent="0.25">
      <c r="A229" s="20"/>
      <c r="B229" s="16"/>
      <c r="C229" s="16"/>
      <c r="D229" s="18"/>
      <c r="E229" s="18"/>
      <c r="F229" s="20"/>
      <c r="G229" s="16"/>
      <c r="H229" s="16"/>
    </row>
    <row r="230" spans="1:8" x14ac:dyDescent="0.25">
      <c r="A230" s="20"/>
      <c r="B230" s="16"/>
      <c r="C230" s="16"/>
      <c r="D230" s="18"/>
      <c r="E230" s="18"/>
      <c r="F230" s="20"/>
      <c r="G230" s="16"/>
      <c r="H230" s="16"/>
    </row>
    <row r="231" spans="1:8" x14ac:dyDescent="0.25">
      <c r="A231" s="20"/>
      <c r="B231" s="16"/>
      <c r="C231" s="16"/>
      <c r="D231" s="18"/>
      <c r="E231" s="18"/>
      <c r="F231" s="20"/>
      <c r="G231" s="16"/>
      <c r="H231" s="16"/>
    </row>
    <row r="232" spans="1:8" x14ac:dyDescent="0.25">
      <c r="A232" s="20"/>
      <c r="B232" s="16"/>
      <c r="C232" s="16"/>
      <c r="D232" s="18"/>
      <c r="E232" s="18"/>
      <c r="F232" s="20"/>
      <c r="G232" s="16"/>
      <c r="H232" s="16"/>
    </row>
    <row r="233" spans="1:8" x14ac:dyDescent="0.25">
      <c r="A233" s="20"/>
      <c r="B233" s="16"/>
      <c r="C233" s="16"/>
      <c r="D233" s="18"/>
      <c r="E233" s="18"/>
      <c r="F233" s="20"/>
      <c r="G233" s="16"/>
      <c r="H233" s="16"/>
    </row>
    <row r="234" spans="1:8" x14ac:dyDescent="0.25">
      <c r="A234" s="20"/>
      <c r="B234" s="16"/>
      <c r="C234" s="16"/>
      <c r="D234" s="18"/>
      <c r="E234" s="18"/>
      <c r="F234" s="20"/>
      <c r="G234" s="16"/>
      <c r="H234" s="16"/>
    </row>
    <row r="235" spans="1:8" x14ac:dyDescent="0.25">
      <c r="A235" s="20"/>
      <c r="B235" s="16"/>
      <c r="C235" s="16"/>
      <c r="D235" s="18"/>
      <c r="E235" s="18"/>
      <c r="F235" s="20"/>
      <c r="G235" s="16"/>
      <c r="H235" s="16"/>
    </row>
    <row r="236" spans="1:8" x14ac:dyDescent="0.25">
      <c r="A236" s="20"/>
      <c r="B236" s="16"/>
      <c r="C236" s="16"/>
      <c r="D236" s="18"/>
      <c r="E236" s="18"/>
      <c r="F236" s="20"/>
      <c r="G236" s="16"/>
      <c r="H236" s="16"/>
    </row>
    <row r="237" spans="1:8" x14ac:dyDescent="0.25">
      <c r="A237" s="20"/>
      <c r="B237" s="16"/>
      <c r="C237" s="16"/>
      <c r="D237" s="18"/>
      <c r="E237" s="18"/>
      <c r="F237" s="20"/>
      <c r="G237" s="16"/>
      <c r="H237" s="16"/>
    </row>
    <row r="238" spans="1:8" x14ac:dyDescent="0.25">
      <c r="A238" s="20"/>
      <c r="B238" s="16"/>
      <c r="C238" s="16"/>
      <c r="D238" s="18"/>
      <c r="E238" s="18"/>
      <c r="F238" s="20"/>
      <c r="G238" s="16"/>
      <c r="H238" s="16"/>
    </row>
    <row r="239" spans="1:8" x14ac:dyDescent="0.25">
      <c r="A239" s="20"/>
      <c r="B239" s="16"/>
      <c r="C239" s="16"/>
      <c r="D239" s="18"/>
      <c r="E239" s="18"/>
      <c r="F239" s="20"/>
      <c r="G239" s="16"/>
      <c r="H239" s="16"/>
    </row>
    <row r="240" spans="1:8" x14ac:dyDescent="0.25">
      <c r="A240" s="20"/>
      <c r="B240" s="16"/>
      <c r="C240" s="16"/>
      <c r="D240" s="18"/>
      <c r="E240" s="18"/>
      <c r="F240" s="20"/>
      <c r="G240" s="16"/>
      <c r="H240" s="16"/>
    </row>
    <row r="241" spans="1:8" x14ac:dyDescent="0.25">
      <c r="A241" s="20"/>
      <c r="B241" s="16"/>
      <c r="C241" s="16"/>
      <c r="D241" s="18"/>
      <c r="E241" s="18"/>
      <c r="F241" s="20"/>
      <c r="G241" s="16"/>
      <c r="H241" s="16"/>
    </row>
    <row r="242" spans="1:8" x14ac:dyDescent="0.25">
      <c r="A242" s="20"/>
      <c r="B242" s="16"/>
      <c r="C242" s="16"/>
      <c r="D242" s="18"/>
      <c r="E242" s="18"/>
      <c r="F242" s="20"/>
      <c r="G242" s="16"/>
      <c r="H242" s="16"/>
    </row>
    <row r="243" spans="1:8" x14ac:dyDescent="0.25">
      <c r="A243" s="20"/>
      <c r="B243" s="16"/>
      <c r="C243" s="16"/>
      <c r="D243" s="18"/>
      <c r="E243" s="18"/>
      <c r="F243" s="20"/>
      <c r="G243" s="16"/>
      <c r="H243" s="16"/>
    </row>
    <row r="244" spans="1:8" x14ac:dyDescent="0.25">
      <c r="A244" s="20"/>
      <c r="B244" s="16"/>
      <c r="C244" s="16"/>
      <c r="D244" s="18"/>
      <c r="E244" s="18"/>
      <c r="F244" s="20"/>
      <c r="G244" s="16"/>
      <c r="H244" s="16"/>
    </row>
    <row r="245" spans="1:8" x14ac:dyDescent="0.25">
      <c r="A245" s="20"/>
      <c r="B245" s="16"/>
      <c r="C245" s="16"/>
      <c r="D245" s="18"/>
      <c r="E245" s="18"/>
      <c r="F245" s="20"/>
      <c r="G245" s="16"/>
      <c r="H245" s="16"/>
    </row>
    <row r="246" spans="1:8" x14ac:dyDescent="0.25">
      <c r="A246" s="20"/>
      <c r="B246" s="16"/>
      <c r="C246" s="16"/>
      <c r="D246" s="18"/>
      <c r="E246" s="18"/>
      <c r="F246" s="20"/>
      <c r="G246" s="16"/>
      <c r="H246" s="16"/>
    </row>
    <row r="247" spans="1:8" x14ac:dyDescent="0.25">
      <c r="A247" s="20"/>
      <c r="B247" s="16"/>
      <c r="C247" s="16"/>
      <c r="D247" s="18"/>
      <c r="E247" s="18"/>
      <c r="F247" s="20"/>
      <c r="G247" s="16"/>
      <c r="H247" s="16"/>
    </row>
    <row r="248" spans="1:8" x14ac:dyDescent="0.25">
      <c r="A248" s="20"/>
      <c r="B248" s="16"/>
      <c r="C248" s="16"/>
      <c r="D248" s="18"/>
      <c r="E248" s="18"/>
      <c r="F248" s="20"/>
      <c r="G248" s="16"/>
      <c r="H248" s="16"/>
    </row>
    <row r="249" spans="1:8" x14ac:dyDescent="0.25">
      <c r="A249" s="20"/>
      <c r="B249" s="16"/>
      <c r="C249" s="16"/>
      <c r="D249" s="18"/>
      <c r="E249" s="18"/>
      <c r="F249" s="20"/>
      <c r="G249" s="16"/>
      <c r="H249" s="16"/>
    </row>
    <row r="250" spans="1:8" x14ac:dyDescent="0.25">
      <c r="A250" s="20"/>
      <c r="B250" s="16"/>
      <c r="C250" s="16"/>
      <c r="D250" s="18"/>
      <c r="E250" s="18"/>
      <c r="F250" s="20"/>
      <c r="G250" s="16"/>
      <c r="H250" s="16"/>
    </row>
    <row r="251" spans="1:8" x14ac:dyDescent="0.25">
      <c r="A251" s="20"/>
      <c r="B251" s="16"/>
      <c r="C251" s="16"/>
      <c r="D251" s="18"/>
      <c r="E251" s="18"/>
      <c r="F251" s="20"/>
      <c r="G251" s="16"/>
      <c r="H251" s="16"/>
    </row>
    <row r="252" spans="1:8" x14ac:dyDescent="0.25">
      <c r="A252" s="20"/>
      <c r="B252" s="16"/>
      <c r="C252" s="16"/>
      <c r="D252" s="18"/>
      <c r="E252" s="18"/>
      <c r="F252" s="20"/>
      <c r="G252" s="16"/>
      <c r="H252" s="16"/>
    </row>
    <row r="253" spans="1:8" x14ac:dyDescent="0.25">
      <c r="A253" s="20"/>
      <c r="B253" s="16"/>
      <c r="C253" s="16"/>
      <c r="D253" s="18"/>
      <c r="E253" s="18"/>
      <c r="F253" s="20"/>
      <c r="G253" s="16"/>
      <c r="H253" s="16"/>
    </row>
    <row r="254" spans="1:8" x14ac:dyDescent="0.25">
      <c r="A254" s="20"/>
      <c r="B254" s="16"/>
      <c r="C254" s="16"/>
      <c r="D254" s="18"/>
      <c r="E254" s="18"/>
      <c r="F254" s="20"/>
      <c r="G254" s="16"/>
      <c r="H254" s="16"/>
    </row>
    <row r="255" spans="1:8" x14ac:dyDescent="0.25">
      <c r="A255" s="20"/>
      <c r="B255" s="16"/>
      <c r="C255" s="16"/>
      <c r="D255" s="18"/>
      <c r="E255" s="18"/>
      <c r="F255" s="20"/>
      <c r="G255" s="16"/>
      <c r="H255" s="16"/>
    </row>
    <row r="256" spans="1:8" x14ac:dyDescent="0.25">
      <c r="A256" s="20"/>
      <c r="B256" s="16"/>
      <c r="C256" s="16"/>
      <c r="D256" s="18"/>
      <c r="E256" s="18"/>
      <c r="F256" s="20"/>
      <c r="G256" s="16"/>
      <c r="H256" s="16"/>
    </row>
    <row r="257" spans="1:8" x14ac:dyDescent="0.25">
      <c r="A257" s="20"/>
      <c r="B257" s="16"/>
      <c r="C257" s="16"/>
      <c r="D257" s="18"/>
      <c r="E257" s="18"/>
      <c r="F257" s="20"/>
      <c r="G257" s="16"/>
      <c r="H257" s="16"/>
    </row>
    <row r="258" spans="1:8" x14ac:dyDescent="0.25">
      <c r="A258" s="20"/>
      <c r="B258" s="16"/>
      <c r="C258" s="16"/>
      <c r="D258" s="18"/>
      <c r="E258" s="18"/>
      <c r="F258" s="20"/>
      <c r="G258" s="16"/>
      <c r="H258" s="16"/>
    </row>
    <row r="259" spans="1:8" x14ac:dyDescent="0.25">
      <c r="A259" s="20"/>
      <c r="B259" s="16"/>
      <c r="C259" s="16"/>
      <c r="D259" s="18"/>
      <c r="E259" s="18"/>
      <c r="F259" s="20"/>
      <c r="G259" s="16"/>
      <c r="H259" s="16"/>
    </row>
    <row r="260" spans="1:8" x14ac:dyDescent="0.25">
      <c r="A260" s="20"/>
      <c r="B260" s="16"/>
      <c r="C260" s="16"/>
      <c r="D260" s="18"/>
      <c r="E260" s="18"/>
      <c r="F260" s="20"/>
      <c r="G260" s="16"/>
      <c r="H260" s="16"/>
    </row>
    <row r="261" spans="1:8" x14ac:dyDescent="0.25">
      <c r="A261" s="20"/>
      <c r="B261" s="16"/>
      <c r="C261" s="16"/>
      <c r="D261" s="18"/>
      <c r="E261" s="18"/>
      <c r="F261" s="20"/>
      <c r="G261" s="16"/>
      <c r="H261" s="16"/>
    </row>
    <row r="262" spans="1:8" x14ac:dyDescent="0.25">
      <c r="A262" s="20"/>
      <c r="B262" s="16"/>
      <c r="C262" s="16"/>
      <c r="D262" s="18"/>
      <c r="E262" s="18"/>
      <c r="F262" s="20"/>
      <c r="G262" s="16"/>
      <c r="H262" s="16"/>
    </row>
    <row r="263" spans="1:8" x14ac:dyDescent="0.25">
      <c r="A263" s="20"/>
      <c r="B263" s="16"/>
      <c r="C263" s="16"/>
      <c r="D263" s="18"/>
      <c r="E263" s="18"/>
      <c r="F263" s="20"/>
      <c r="G263" s="16"/>
      <c r="H263" s="16"/>
    </row>
    <row r="264" spans="1:8" x14ac:dyDescent="0.25">
      <c r="A264" s="20"/>
      <c r="B264" s="16"/>
      <c r="C264" s="16"/>
      <c r="D264" s="18"/>
      <c r="E264" s="18"/>
      <c r="F264" s="20"/>
      <c r="G264" s="16"/>
      <c r="H264" s="16"/>
    </row>
    <row r="265" spans="1:8" x14ac:dyDescent="0.25">
      <c r="A265" s="20"/>
      <c r="B265" s="16"/>
      <c r="C265" s="16"/>
      <c r="D265" s="18"/>
      <c r="E265" s="18"/>
      <c r="F265" s="20"/>
      <c r="G265" s="16"/>
      <c r="H265" s="16"/>
    </row>
    <row r="266" spans="1:8" x14ac:dyDescent="0.25">
      <c r="A266" s="20"/>
      <c r="B266" s="16"/>
      <c r="C266" s="16"/>
      <c r="D266" s="18"/>
      <c r="E266" s="18"/>
      <c r="F266" s="20"/>
      <c r="G266" s="16"/>
      <c r="H266" s="16"/>
    </row>
    <row r="267" spans="1:8" x14ac:dyDescent="0.25">
      <c r="A267" s="20"/>
      <c r="B267" s="16"/>
      <c r="C267" s="16"/>
      <c r="D267" s="18"/>
      <c r="E267" s="18"/>
      <c r="F267" s="20"/>
      <c r="G267" s="16"/>
      <c r="H267" s="16"/>
    </row>
    <row r="268" spans="1:8" x14ac:dyDescent="0.25">
      <c r="A268" s="20"/>
      <c r="B268" s="16"/>
      <c r="C268" s="16"/>
      <c r="D268" s="18"/>
      <c r="E268" s="18"/>
      <c r="F268" s="20"/>
      <c r="G268" s="16"/>
      <c r="H268" s="16"/>
    </row>
    <row r="269" spans="1:8" x14ac:dyDescent="0.25">
      <c r="A269" s="20"/>
      <c r="B269" s="16"/>
      <c r="C269" s="16"/>
      <c r="D269" s="18"/>
      <c r="E269" s="18"/>
      <c r="F269" s="20"/>
      <c r="G269" s="16"/>
      <c r="H269" s="16"/>
    </row>
    <row r="270" spans="1:8" x14ac:dyDescent="0.25">
      <c r="A270" s="20"/>
      <c r="B270" s="16"/>
      <c r="C270" s="16"/>
      <c r="D270" s="18"/>
      <c r="E270" s="18"/>
      <c r="F270" s="20"/>
      <c r="G270" s="16"/>
      <c r="H270" s="16"/>
    </row>
    <row r="271" spans="1:8" x14ac:dyDescent="0.25">
      <c r="A271" s="20"/>
      <c r="B271" s="16"/>
      <c r="C271" s="16"/>
      <c r="D271" s="18"/>
      <c r="E271" s="18"/>
      <c r="F271" s="20"/>
      <c r="G271" s="16"/>
      <c r="H271" s="16"/>
    </row>
    <row r="272" spans="1:8" x14ac:dyDescent="0.25">
      <c r="A272" s="20"/>
      <c r="B272" s="16"/>
      <c r="C272" s="16"/>
      <c r="D272" s="18"/>
      <c r="E272" s="18"/>
      <c r="F272" s="20"/>
      <c r="G272" s="16"/>
      <c r="H272" s="16"/>
    </row>
    <row r="273" spans="1:8" x14ac:dyDescent="0.25">
      <c r="A273" s="20"/>
      <c r="B273" s="16"/>
      <c r="C273" s="16"/>
      <c r="D273" s="18"/>
      <c r="E273" s="18"/>
      <c r="F273" s="20"/>
      <c r="G273" s="16"/>
      <c r="H273" s="16"/>
    </row>
    <row r="274" spans="1:8" x14ac:dyDescent="0.25">
      <c r="A274" s="20"/>
      <c r="B274" s="16"/>
      <c r="C274" s="16"/>
      <c r="D274" s="18"/>
      <c r="E274" s="18"/>
      <c r="F274" s="20"/>
      <c r="G274" s="16"/>
      <c r="H274" s="16"/>
    </row>
    <row r="275" spans="1:8" x14ac:dyDescent="0.25">
      <c r="A275" s="20"/>
      <c r="B275" s="16"/>
      <c r="C275" s="16"/>
      <c r="D275" s="18"/>
      <c r="E275" s="18"/>
      <c r="F275" s="20"/>
      <c r="G275" s="16"/>
      <c r="H275" s="16"/>
    </row>
    <row r="276" spans="1:8" x14ac:dyDescent="0.25">
      <c r="A276" s="20"/>
      <c r="B276" s="16"/>
      <c r="C276" s="16"/>
      <c r="D276" s="18"/>
      <c r="E276" s="18"/>
      <c r="F276" s="20"/>
      <c r="G276" s="16"/>
      <c r="H276" s="16"/>
    </row>
    <row r="277" spans="1:8" x14ac:dyDescent="0.25">
      <c r="A277" s="20"/>
      <c r="B277" s="16"/>
      <c r="C277" s="16"/>
      <c r="D277" s="18"/>
      <c r="E277" s="18"/>
      <c r="F277" s="20"/>
      <c r="G277" s="16"/>
      <c r="H277" s="16"/>
    </row>
    <row r="278" spans="1:8" x14ac:dyDescent="0.25">
      <c r="A278" s="20"/>
      <c r="B278" s="16"/>
      <c r="C278" s="16"/>
      <c r="D278" s="18"/>
      <c r="E278" s="18"/>
      <c r="F278" s="20"/>
      <c r="G278" s="16"/>
      <c r="H278" s="16"/>
    </row>
    <row r="279" spans="1:8" x14ac:dyDescent="0.25">
      <c r="A279" s="20"/>
      <c r="B279" s="16"/>
      <c r="C279" s="16"/>
      <c r="D279" s="18"/>
      <c r="E279" s="18"/>
      <c r="F279" s="20"/>
      <c r="G279" s="16"/>
      <c r="H279" s="16"/>
    </row>
    <row r="280" spans="1:8" x14ac:dyDescent="0.25">
      <c r="A280" s="20"/>
      <c r="B280" s="16"/>
      <c r="C280" s="16"/>
      <c r="D280" s="18"/>
      <c r="E280" s="18"/>
      <c r="F280" s="20"/>
      <c r="G280" s="16"/>
      <c r="H280" s="16"/>
    </row>
    <row r="281" spans="1:8" x14ac:dyDescent="0.25">
      <c r="A281" s="20"/>
      <c r="B281" s="16"/>
      <c r="C281" s="16"/>
      <c r="D281" s="18"/>
      <c r="E281" s="18"/>
      <c r="F281" s="20"/>
      <c r="G281" s="16"/>
      <c r="H281" s="16"/>
    </row>
    <row r="282" spans="1:8" x14ac:dyDescent="0.25">
      <c r="A282" s="20"/>
      <c r="B282" s="16"/>
      <c r="C282" s="16"/>
      <c r="D282" s="18"/>
      <c r="E282" s="18"/>
      <c r="F282" s="20"/>
      <c r="G282" s="16"/>
      <c r="H282" s="16"/>
    </row>
    <row r="283" spans="1:8" x14ac:dyDescent="0.25">
      <c r="A283" s="20"/>
      <c r="B283" s="16"/>
      <c r="C283" s="16"/>
      <c r="D283" s="18"/>
      <c r="E283" s="18"/>
      <c r="F283" s="20"/>
      <c r="G283" s="16"/>
      <c r="H283" s="16"/>
    </row>
    <row r="284" spans="1:8" x14ac:dyDescent="0.25">
      <c r="A284" s="20"/>
      <c r="B284" s="16"/>
      <c r="C284" s="16"/>
      <c r="D284" s="18"/>
      <c r="E284" s="18"/>
      <c r="F284" s="20"/>
      <c r="G284" s="16"/>
      <c r="H284" s="16"/>
    </row>
    <row r="285" spans="1:8" x14ac:dyDescent="0.25">
      <c r="A285" s="20"/>
      <c r="B285" s="16"/>
      <c r="C285" s="16"/>
      <c r="D285" s="18"/>
      <c r="E285" s="18"/>
      <c r="F285" s="20"/>
      <c r="G285" s="16"/>
      <c r="H285" s="16"/>
    </row>
    <row r="286" spans="1:8" x14ac:dyDescent="0.25">
      <c r="A286" s="20"/>
      <c r="B286" s="16"/>
      <c r="C286" s="16"/>
      <c r="D286" s="18"/>
      <c r="E286" s="18"/>
      <c r="F286" s="20"/>
      <c r="G286" s="16"/>
      <c r="H286" s="16"/>
    </row>
    <row r="287" spans="1:8" x14ac:dyDescent="0.25">
      <c r="A287" s="20"/>
      <c r="B287" s="16"/>
      <c r="C287" s="16"/>
      <c r="D287" s="18"/>
      <c r="E287" s="18"/>
      <c r="F287" s="20"/>
      <c r="G287" s="16"/>
      <c r="H287" s="16"/>
    </row>
    <row r="288" spans="1:8" x14ac:dyDescent="0.25">
      <c r="A288" s="20"/>
      <c r="B288" s="16"/>
      <c r="C288" s="16"/>
      <c r="D288" s="18"/>
      <c r="E288" s="18"/>
      <c r="F288" s="20"/>
      <c r="G288" s="16"/>
      <c r="H288" s="16"/>
    </row>
    <row r="289" spans="1:8" x14ac:dyDescent="0.25">
      <c r="A289" s="20"/>
      <c r="B289" s="16"/>
      <c r="C289" s="16"/>
      <c r="D289" s="18"/>
      <c r="E289" s="18"/>
      <c r="F289" s="20"/>
      <c r="G289" s="16"/>
      <c r="H289" s="16"/>
    </row>
    <row r="290" spans="1:8" x14ac:dyDescent="0.25">
      <c r="A290" s="20"/>
      <c r="B290" s="16"/>
      <c r="C290" s="16"/>
      <c r="D290" s="18"/>
      <c r="E290" s="18"/>
      <c r="F290" s="20"/>
      <c r="G290" s="16"/>
      <c r="H290" s="16"/>
    </row>
    <row r="291" spans="1:8" x14ac:dyDescent="0.25">
      <c r="A291" s="20"/>
      <c r="B291" s="16"/>
      <c r="C291" s="16"/>
      <c r="D291" s="18"/>
      <c r="E291" s="18"/>
      <c r="F291" s="20"/>
      <c r="G291" s="16"/>
      <c r="H291" s="16"/>
    </row>
    <row r="292" spans="1:8" x14ac:dyDescent="0.25">
      <c r="A292" s="20"/>
      <c r="B292" s="16"/>
      <c r="C292" s="16"/>
      <c r="D292" s="18"/>
      <c r="E292" s="18"/>
      <c r="F292" s="20"/>
      <c r="G292" s="16"/>
      <c r="H292" s="16"/>
    </row>
    <row r="293" spans="1:8" x14ac:dyDescent="0.25">
      <c r="A293" s="20"/>
      <c r="B293" s="16"/>
      <c r="C293" s="16"/>
      <c r="D293" s="18"/>
      <c r="E293" s="18"/>
      <c r="F293" s="20"/>
      <c r="G293" s="16"/>
      <c r="H293" s="16"/>
    </row>
    <row r="294" spans="1:8" x14ac:dyDescent="0.25">
      <c r="A294" s="20"/>
      <c r="B294" s="16"/>
      <c r="C294" s="16"/>
      <c r="D294" s="18"/>
      <c r="E294" s="18"/>
      <c r="F294" s="20"/>
      <c r="G294" s="16"/>
      <c r="H294" s="16"/>
    </row>
    <row r="295" spans="1:8" x14ac:dyDescent="0.25">
      <c r="A295" s="20"/>
      <c r="B295" s="16"/>
      <c r="C295" s="16"/>
      <c r="D295" s="18"/>
      <c r="E295" s="18"/>
      <c r="F295" s="20"/>
      <c r="G295" s="16"/>
      <c r="H295" s="16"/>
    </row>
    <row r="296" spans="1:8" x14ac:dyDescent="0.25">
      <c r="A296" s="20"/>
      <c r="B296" s="16"/>
      <c r="C296" s="16"/>
      <c r="D296" s="18"/>
      <c r="E296" s="18"/>
      <c r="F296" s="20"/>
      <c r="G296" s="16"/>
      <c r="H296" s="16"/>
    </row>
    <row r="297" spans="1:8" x14ac:dyDescent="0.25">
      <c r="A297" s="20"/>
      <c r="B297" s="16"/>
      <c r="C297" s="16"/>
      <c r="D297" s="18"/>
      <c r="E297" s="18"/>
      <c r="F297" s="20"/>
      <c r="G297" s="16"/>
      <c r="H297" s="16"/>
    </row>
    <row r="298" spans="1:8" x14ac:dyDescent="0.25">
      <c r="A298" s="20"/>
      <c r="B298" s="16"/>
      <c r="C298" s="16"/>
      <c r="D298" s="18"/>
      <c r="E298" s="18"/>
      <c r="F298" s="20"/>
      <c r="G298" s="16"/>
      <c r="H298" s="16"/>
    </row>
    <row r="299" spans="1:8" x14ac:dyDescent="0.25">
      <c r="A299" s="20"/>
      <c r="B299" s="16"/>
      <c r="C299" s="16"/>
      <c r="D299" s="18"/>
      <c r="E299" s="18"/>
      <c r="F299" s="20"/>
      <c r="G299" s="16"/>
      <c r="H299" s="16"/>
    </row>
    <row r="300" spans="1:8" x14ac:dyDescent="0.25">
      <c r="A300" s="20"/>
      <c r="B300" s="16"/>
      <c r="C300" s="16"/>
      <c r="D300" s="18"/>
      <c r="E300" s="18"/>
      <c r="F300" s="20"/>
      <c r="G300" s="16"/>
      <c r="H300" s="16"/>
    </row>
    <row r="301" spans="1:8" x14ac:dyDescent="0.25">
      <c r="A301" s="20"/>
      <c r="B301" s="16"/>
      <c r="C301" s="16"/>
      <c r="D301" s="18"/>
      <c r="E301" s="18"/>
      <c r="F301" s="20"/>
      <c r="G301" s="16"/>
      <c r="H301" s="16"/>
    </row>
    <row r="302" spans="1:8" x14ac:dyDescent="0.25">
      <c r="A302" s="20"/>
      <c r="B302" s="16"/>
      <c r="C302" s="16"/>
      <c r="D302" s="18"/>
      <c r="E302" s="18"/>
      <c r="F302" s="20"/>
      <c r="G302" s="16"/>
      <c r="H302" s="16"/>
    </row>
    <row r="303" spans="1:8" x14ac:dyDescent="0.25">
      <c r="A303" s="20"/>
      <c r="B303" s="16"/>
      <c r="C303" s="16"/>
      <c r="D303" s="18"/>
      <c r="E303" s="18"/>
      <c r="F303" s="20"/>
      <c r="G303" s="16"/>
      <c r="H303" s="16"/>
    </row>
    <row r="304" spans="1:8" x14ac:dyDescent="0.25">
      <c r="A304" s="20"/>
      <c r="B304" s="16"/>
      <c r="C304" s="16"/>
      <c r="D304" s="18"/>
      <c r="E304" s="18"/>
      <c r="F304" s="20"/>
      <c r="G304" s="16"/>
      <c r="H304" s="16"/>
    </row>
    <row r="305" spans="1:8" x14ac:dyDescent="0.25">
      <c r="A305" s="20"/>
      <c r="B305" s="16"/>
      <c r="C305" s="16"/>
      <c r="D305" s="18"/>
      <c r="E305" s="18"/>
      <c r="F305" s="20"/>
      <c r="G305" s="16"/>
      <c r="H305" s="16"/>
    </row>
    <row r="306" spans="1:8" x14ac:dyDescent="0.25">
      <c r="A306" s="20"/>
      <c r="B306" s="16"/>
      <c r="C306" s="16"/>
      <c r="D306" s="18"/>
      <c r="E306" s="18"/>
      <c r="F306" s="20"/>
      <c r="G306" s="16"/>
      <c r="H306" s="16"/>
    </row>
    <row r="307" spans="1:8" x14ac:dyDescent="0.25">
      <c r="A307" s="20"/>
      <c r="B307" s="16"/>
      <c r="C307" s="16"/>
      <c r="D307" s="18"/>
      <c r="E307" s="18"/>
      <c r="F307" s="20"/>
      <c r="G307" s="16"/>
      <c r="H307" s="16"/>
    </row>
    <row r="308" spans="1:8" x14ac:dyDescent="0.25">
      <c r="A308" s="20"/>
      <c r="B308" s="16"/>
      <c r="C308" s="16"/>
      <c r="D308" s="18"/>
      <c r="E308" s="18"/>
      <c r="F308" s="20"/>
      <c r="G308" s="16"/>
      <c r="H308" s="16"/>
    </row>
    <row r="309" spans="1:8" x14ac:dyDescent="0.25">
      <c r="A309" s="20"/>
      <c r="B309" s="16"/>
      <c r="C309" s="16"/>
      <c r="D309" s="18"/>
      <c r="E309" s="18"/>
      <c r="F309" s="20"/>
      <c r="G309" s="16"/>
      <c r="H309" s="16"/>
    </row>
    <row r="310" spans="1:8" x14ac:dyDescent="0.25">
      <c r="A310" s="20"/>
      <c r="B310" s="16"/>
      <c r="C310" s="16"/>
      <c r="D310" s="18"/>
      <c r="E310" s="18"/>
      <c r="F310" s="20"/>
      <c r="G310" s="16"/>
      <c r="H310" s="16"/>
    </row>
    <row r="311" spans="1:8" x14ac:dyDescent="0.25">
      <c r="A311" s="20"/>
      <c r="B311" s="16"/>
      <c r="C311" s="16"/>
      <c r="D311" s="18"/>
      <c r="E311" s="18"/>
      <c r="F311" s="20"/>
      <c r="G311" s="16"/>
      <c r="H311" s="16"/>
    </row>
    <row r="312" spans="1:8" x14ac:dyDescent="0.25">
      <c r="A312" s="20"/>
      <c r="B312" s="16"/>
      <c r="C312" s="16"/>
      <c r="D312" s="18"/>
      <c r="E312" s="18"/>
      <c r="F312" s="20"/>
      <c r="G312" s="16"/>
      <c r="H312" s="16"/>
    </row>
    <row r="313" spans="1:8" x14ac:dyDescent="0.25">
      <c r="A313" s="20"/>
      <c r="B313" s="16"/>
      <c r="C313" s="16"/>
      <c r="D313" s="18"/>
      <c r="E313" s="18"/>
      <c r="F313" s="20"/>
      <c r="G313" s="16"/>
      <c r="H313" s="16"/>
    </row>
    <row r="314" spans="1:8" x14ac:dyDescent="0.25">
      <c r="A314" s="20"/>
      <c r="B314" s="16"/>
      <c r="C314" s="16"/>
      <c r="D314" s="18"/>
      <c r="E314" s="18"/>
      <c r="F314" s="20"/>
      <c r="G314" s="16"/>
      <c r="H314" s="16"/>
    </row>
    <row r="315" spans="1:8" x14ac:dyDescent="0.25">
      <c r="A315" s="20"/>
      <c r="B315" s="16"/>
      <c r="C315" s="16"/>
      <c r="D315" s="18"/>
      <c r="E315" s="18"/>
      <c r="F315" s="20"/>
      <c r="G315" s="16"/>
      <c r="H315" s="16"/>
    </row>
    <row r="316" spans="1:8" x14ac:dyDescent="0.25">
      <c r="A316" s="20"/>
      <c r="B316" s="16"/>
      <c r="C316" s="16"/>
      <c r="D316" s="18"/>
      <c r="E316" s="18"/>
      <c r="F316" s="20"/>
      <c r="G316" s="16"/>
      <c r="H316" s="16"/>
    </row>
    <row r="317" spans="1:8" x14ac:dyDescent="0.25">
      <c r="A317" s="20"/>
      <c r="B317" s="16"/>
      <c r="C317" s="16"/>
      <c r="D317" s="18"/>
      <c r="E317" s="18"/>
      <c r="F317" s="20"/>
      <c r="G317" s="16"/>
      <c r="H317" s="16"/>
    </row>
    <row r="318" spans="1:8" x14ac:dyDescent="0.25">
      <c r="A318" s="20"/>
      <c r="B318" s="16"/>
      <c r="C318" s="16"/>
      <c r="D318" s="18"/>
      <c r="E318" s="18"/>
      <c r="F318" s="20"/>
      <c r="G318" s="16"/>
      <c r="H318" s="16"/>
    </row>
    <row r="319" spans="1:8" x14ac:dyDescent="0.25">
      <c r="A319" s="20"/>
      <c r="B319" s="16"/>
      <c r="C319" s="16"/>
      <c r="D319" s="18"/>
      <c r="E319" s="18"/>
      <c r="F319" s="20"/>
      <c r="G319" s="16"/>
      <c r="H319" s="16"/>
    </row>
    <row r="320" spans="1:8" x14ac:dyDescent="0.25">
      <c r="A320" s="20"/>
      <c r="B320" s="16"/>
      <c r="C320" s="16"/>
      <c r="D320" s="18"/>
      <c r="E320" s="18"/>
      <c r="F320" s="20"/>
      <c r="G320" s="16"/>
      <c r="H320" s="16"/>
    </row>
    <row r="321" spans="1:8" x14ac:dyDescent="0.25">
      <c r="A321" s="20"/>
      <c r="B321" s="16"/>
      <c r="C321" s="16"/>
      <c r="D321" s="18"/>
      <c r="E321" s="18"/>
      <c r="F321" s="20"/>
      <c r="G321" s="16"/>
      <c r="H321" s="16"/>
    </row>
    <row r="322" spans="1:8" x14ac:dyDescent="0.25">
      <c r="A322" s="20"/>
      <c r="B322" s="16"/>
      <c r="C322" s="16"/>
      <c r="D322" s="18"/>
      <c r="E322" s="18"/>
      <c r="F322" s="20"/>
      <c r="G322" s="16"/>
      <c r="H322" s="16"/>
    </row>
    <row r="323" spans="1:8" x14ac:dyDescent="0.25">
      <c r="A323" s="20"/>
      <c r="B323" s="16"/>
      <c r="C323" s="16"/>
      <c r="D323" s="18"/>
      <c r="E323" s="18"/>
      <c r="F323" s="20"/>
      <c r="G323" s="16"/>
      <c r="H323" s="16"/>
    </row>
    <row r="324" spans="1:8" x14ac:dyDescent="0.25">
      <c r="A324" s="20"/>
      <c r="B324" s="16"/>
      <c r="C324" s="16"/>
      <c r="D324" s="18"/>
      <c r="E324" s="18"/>
      <c r="F324" s="20"/>
      <c r="G324" s="16"/>
      <c r="H324" s="16"/>
    </row>
    <row r="325" spans="1:8" x14ac:dyDescent="0.25">
      <c r="A325" s="20"/>
      <c r="B325" s="16"/>
      <c r="C325" s="16"/>
      <c r="D325" s="18"/>
      <c r="E325" s="18"/>
      <c r="F325" s="20"/>
      <c r="G325" s="16"/>
      <c r="H325" s="16"/>
    </row>
    <row r="326" spans="1:8" x14ac:dyDescent="0.25">
      <c r="A326" s="20"/>
      <c r="B326" s="16"/>
      <c r="C326" s="16"/>
      <c r="D326" s="18"/>
      <c r="E326" s="18"/>
      <c r="F326" s="20"/>
      <c r="G326" s="16"/>
      <c r="H326" s="16"/>
    </row>
    <row r="327" spans="1:8" x14ac:dyDescent="0.25">
      <c r="A327" s="20"/>
      <c r="B327" s="16"/>
      <c r="C327" s="16"/>
      <c r="D327" s="18"/>
      <c r="E327" s="18"/>
      <c r="F327" s="20"/>
      <c r="G327" s="16"/>
      <c r="H327" s="16"/>
    </row>
    <row r="328" spans="1:8" x14ac:dyDescent="0.25">
      <c r="A328" s="20"/>
      <c r="B328" s="16"/>
      <c r="C328" s="16"/>
      <c r="D328" s="18"/>
      <c r="E328" s="18"/>
      <c r="F328" s="20"/>
      <c r="G328" s="16"/>
      <c r="H328" s="16"/>
    </row>
    <row r="329" spans="1:8" x14ac:dyDescent="0.25">
      <c r="A329" s="20"/>
      <c r="B329" s="16"/>
      <c r="C329" s="16"/>
      <c r="D329" s="18"/>
      <c r="E329" s="18"/>
      <c r="F329" s="20"/>
      <c r="G329" s="16"/>
      <c r="H329" s="16"/>
    </row>
    <row r="330" spans="1:8" x14ac:dyDescent="0.25">
      <c r="A330" s="20"/>
      <c r="B330" s="16"/>
      <c r="C330" s="16"/>
      <c r="D330" s="18"/>
      <c r="E330" s="18"/>
      <c r="F330" s="20"/>
      <c r="G330" s="16"/>
      <c r="H330" s="16"/>
    </row>
    <row r="331" spans="1:8" x14ac:dyDescent="0.25">
      <c r="A331" s="20"/>
      <c r="B331" s="16"/>
      <c r="C331" s="16"/>
      <c r="D331" s="18"/>
      <c r="E331" s="18"/>
      <c r="F331" s="20"/>
      <c r="G331" s="16"/>
      <c r="H331" s="16"/>
    </row>
    <row r="332" spans="1:8" x14ac:dyDescent="0.25">
      <c r="A332" s="20"/>
      <c r="B332" s="16"/>
      <c r="C332" s="16"/>
      <c r="D332" s="18"/>
      <c r="E332" s="18"/>
      <c r="F332" s="20"/>
      <c r="G332" s="16"/>
      <c r="H332" s="16"/>
    </row>
    <row r="333" spans="1:8" x14ac:dyDescent="0.25">
      <c r="A333" s="20"/>
      <c r="B333" s="16"/>
      <c r="C333" s="16"/>
      <c r="D333" s="18"/>
      <c r="E333" s="18"/>
      <c r="F333" s="20"/>
      <c r="G333" s="16"/>
      <c r="H333" s="16"/>
    </row>
    <row r="334" spans="1:8" x14ac:dyDescent="0.25">
      <c r="A334" s="20"/>
      <c r="B334" s="16"/>
      <c r="C334" s="16"/>
      <c r="D334" s="18"/>
      <c r="E334" s="18"/>
      <c r="F334" s="20"/>
      <c r="G334" s="16"/>
      <c r="H334" s="16"/>
    </row>
    <row r="335" spans="1:8" x14ac:dyDescent="0.25">
      <c r="A335" s="20"/>
      <c r="B335" s="16"/>
      <c r="C335" s="16"/>
      <c r="D335" s="18"/>
      <c r="E335" s="18"/>
      <c r="F335" s="20"/>
      <c r="G335" s="16"/>
      <c r="H335" s="16"/>
    </row>
    <row r="336" spans="1:8" x14ac:dyDescent="0.25">
      <c r="A336" s="20"/>
      <c r="B336" s="16"/>
      <c r="C336" s="16"/>
      <c r="D336" s="18"/>
      <c r="E336" s="18"/>
      <c r="F336" s="20"/>
      <c r="G336" s="16"/>
      <c r="H336" s="16"/>
    </row>
    <row r="337" spans="1:8" x14ac:dyDescent="0.25">
      <c r="A337" s="20"/>
      <c r="B337" s="16"/>
      <c r="C337" s="16"/>
      <c r="D337" s="18"/>
      <c r="E337" s="18"/>
      <c r="F337" s="20"/>
      <c r="G337" s="16"/>
      <c r="H337" s="16"/>
    </row>
    <row r="338" spans="1:8" x14ac:dyDescent="0.25">
      <c r="A338" s="20"/>
      <c r="B338" s="16"/>
      <c r="C338" s="16"/>
      <c r="D338" s="18"/>
      <c r="E338" s="18"/>
      <c r="F338" s="20"/>
      <c r="G338" s="16"/>
      <c r="H338" s="16"/>
    </row>
    <row r="339" spans="1:8" x14ac:dyDescent="0.25">
      <c r="A339" s="20"/>
      <c r="B339" s="16"/>
      <c r="C339" s="16"/>
      <c r="D339" s="18"/>
      <c r="E339" s="18"/>
      <c r="F339" s="20"/>
      <c r="G339" s="16"/>
      <c r="H339" s="16"/>
    </row>
    <row r="340" spans="1:8" x14ac:dyDescent="0.25">
      <c r="A340" s="20"/>
      <c r="B340" s="16"/>
      <c r="C340" s="16"/>
      <c r="D340" s="18"/>
      <c r="E340" s="18"/>
      <c r="F340" s="20"/>
      <c r="G340" s="16"/>
      <c r="H340" s="16"/>
    </row>
    <row r="341" spans="1:8" x14ac:dyDescent="0.25">
      <c r="A341" s="20"/>
      <c r="B341" s="16"/>
      <c r="C341" s="16"/>
      <c r="D341" s="18"/>
      <c r="E341" s="18"/>
      <c r="F341" s="20"/>
      <c r="G341" s="16"/>
      <c r="H341" s="16"/>
    </row>
    <row r="342" spans="1:8" x14ac:dyDescent="0.25">
      <c r="A342" s="20"/>
      <c r="B342" s="16"/>
      <c r="C342" s="16"/>
      <c r="D342" s="18"/>
      <c r="E342" s="18"/>
      <c r="F342" s="20"/>
      <c r="G342" s="16"/>
      <c r="H342" s="16"/>
    </row>
    <row r="343" spans="1:8" x14ac:dyDescent="0.25">
      <c r="A343" s="20"/>
      <c r="B343" s="16"/>
      <c r="C343" s="16"/>
      <c r="D343" s="18"/>
      <c r="E343" s="18"/>
      <c r="F343" s="20"/>
      <c r="G343" s="16"/>
      <c r="H343" s="16"/>
    </row>
    <row r="344" spans="1:8" x14ac:dyDescent="0.25">
      <c r="A344" s="20"/>
      <c r="B344" s="16"/>
      <c r="C344" s="16"/>
      <c r="D344" s="18"/>
      <c r="E344" s="18"/>
      <c r="F344" s="20"/>
      <c r="G344" s="16"/>
      <c r="H344" s="16"/>
    </row>
    <row r="345" spans="1:8" x14ac:dyDescent="0.25">
      <c r="A345" s="20"/>
      <c r="B345" s="16"/>
      <c r="C345" s="16"/>
      <c r="D345" s="18"/>
      <c r="E345" s="18"/>
      <c r="F345" s="20"/>
      <c r="G345" s="16"/>
      <c r="H345" s="16"/>
    </row>
    <row r="346" spans="1:8" x14ac:dyDescent="0.25">
      <c r="A346" s="20"/>
      <c r="B346" s="16"/>
      <c r="C346" s="16"/>
      <c r="D346" s="18"/>
      <c r="E346" s="18"/>
      <c r="F346" s="20"/>
      <c r="G346" s="16"/>
      <c r="H346" s="16"/>
    </row>
    <row r="347" spans="1:8" x14ac:dyDescent="0.25">
      <c r="A347" s="20"/>
      <c r="B347" s="16"/>
      <c r="C347" s="16"/>
      <c r="D347" s="18"/>
      <c r="E347" s="18"/>
      <c r="F347" s="20"/>
      <c r="G347" s="16"/>
      <c r="H347" s="16"/>
    </row>
    <row r="348" spans="1:8" x14ac:dyDescent="0.25">
      <c r="A348" s="20"/>
      <c r="B348" s="16"/>
      <c r="C348" s="16"/>
      <c r="D348" s="18"/>
      <c r="E348" s="18"/>
      <c r="F348" s="20"/>
      <c r="G348" s="16"/>
      <c r="H348" s="16"/>
    </row>
    <row r="349" spans="1:8" x14ac:dyDescent="0.25">
      <c r="A349" s="20"/>
      <c r="B349" s="16"/>
      <c r="C349" s="16"/>
      <c r="D349" s="18"/>
      <c r="E349" s="18"/>
      <c r="F349" s="20"/>
      <c r="G349" s="16"/>
      <c r="H349" s="16"/>
    </row>
    <row r="350" spans="1:8" x14ac:dyDescent="0.25">
      <c r="A350" s="20"/>
      <c r="B350" s="16"/>
      <c r="C350" s="16"/>
      <c r="D350" s="18"/>
      <c r="E350" s="18"/>
      <c r="F350" s="20"/>
      <c r="G350" s="16"/>
      <c r="H350" s="16"/>
    </row>
    <row r="351" spans="1:8" x14ac:dyDescent="0.25">
      <c r="A351" s="20"/>
      <c r="B351" s="16"/>
      <c r="C351" s="16"/>
      <c r="D351" s="18"/>
      <c r="E351" s="18"/>
      <c r="F351" s="20"/>
      <c r="G351" s="16"/>
      <c r="H351" s="16"/>
    </row>
    <row r="352" spans="1:8" x14ac:dyDescent="0.25">
      <c r="A352" s="20"/>
      <c r="B352" s="16"/>
      <c r="C352" s="16"/>
      <c r="D352" s="18"/>
      <c r="E352" s="18"/>
      <c r="F352" s="20"/>
      <c r="G352" s="16"/>
      <c r="H352" s="16"/>
    </row>
    <row r="353" spans="1:8" x14ac:dyDescent="0.25">
      <c r="A353" s="20"/>
      <c r="B353" s="16"/>
      <c r="C353" s="16"/>
      <c r="D353" s="18"/>
      <c r="E353" s="18"/>
      <c r="F353" s="20"/>
      <c r="G353" s="16"/>
      <c r="H353" s="16"/>
    </row>
    <row r="354" spans="1:8" x14ac:dyDescent="0.25">
      <c r="A354" s="20"/>
      <c r="B354" s="16"/>
      <c r="C354" s="16"/>
      <c r="D354" s="18"/>
      <c r="E354" s="18"/>
      <c r="F354" s="20"/>
      <c r="G354" s="16"/>
      <c r="H354" s="16"/>
    </row>
    <row r="355" spans="1:8" x14ac:dyDescent="0.25">
      <c r="A355" s="20"/>
      <c r="B355" s="16"/>
      <c r="C355" s="16"/>
      <c r="D355" s="18"/>
      <c r="E355" s="18"/>
      <c r="F355" s="20"/>
      <c r="G355" s="16"/>
      <c r="H355" s="16"/>
    </row>
    <row r="356" spans="1:8" x14ac:dyDescent="0.25">
      <c r="A356" s="20"/>
      <c r="B356" s="16"/>
      <c r="C356" s="16"/>
      <c r="D356" s="18"/>
      <c r="E356" s="18"/>
      <c r="F356" s="20"/>
      <c r="G356" s="16"/>
      <c r="H356" s="16"/>
    </row>
    <row r="357" spans="1:8" x14ac:dyDescent="0.25">
      <c r="A357" s="20"/>
      <c r="B357" s="16"/>
      <c r="C357" s="16"/>
      <c r="D357" s="18"/>
      <c r="E357" s="18"/>
      <c r="F357" s="20"/>
      <c r="G357" s="16"/>
      <c r="H357" s="16"/>
    </row>
    <row r="358" spans="1:8" x14ac:dyDescent="0.25">
      <c r="A358" s="20"/>
      <c r="B358" s="16"/>
      <c r="C358" s="16"/>
      <c r="D358" s="18"/>
      <c r="E358" s="18"/>
      <c r="F358" s="20"/>
      <c r="G358" s="16"/>
      <c r="H358" s="16"/>
    </row>
    <row r="359" spans="1:8" x14ac:dyDescent="0.25">
      <c r="A359" s="20"/>
      <c r="B359" s="16"/>
      <c r="C359" s="16"/>
      <c r="D359" s="18"/>
      <c r="E359" s="18"/>
      <c r="F359" s="20"/>
      <c r="G359" s="16"/>
      <c r="H359" s="16"/>
    </row>
    <row r="360" spans="1:8" x14ac:dyDescent="0.25">
      <c r="A360" s="20"/>
      <c r="B360" s="16"/>
      <c r="C360" s="16"/>
      <c r="D360" s="18"/>
      <c r="E360" s="18"/>
      <c r="F360" s="20"/>
      <c r="G360" s="16"/>
      <c r="H360" s="16"/>
    </row>
    <row r="361" spans="1:8" x14ac:dyDescent="0.25">
      <c r="A361" s="20"/>
      <c r="B361" s="16"/>
      <c r="C361" s="16"/>
      <c r="D361" s="18"/>
      <c r="E361" s="18"/>
      <c r="F361" s="20"/>
      <c r="G361" s="16"/>
      <c r="H361" s="16"/>
    </row>
    <row r="362" spans="1:8" x14ac:dyDescent="0.25">
      <c r="A362" s="20"/>
      <c r="B362" s="16"/>
      <c r="C362" s="16"/>
      <c r="D362" s="18"/>
      <c r="E362" s="18"/>
      <c r="F362" s="20"/>
      <c r="G362" s="16"/>
      <c r="H362" s="16"/>
    </row>
    <row r="363" spans="1:8" x14ac:dyDescent="0.25">
      <c r="A363" s="20"/>
      <c r="B363" s="16"/>
      <c r="C363" s="16"/>
      <c r="D363" s="18"/>
      <c r="E363" s="18"/>
      <c r="F363" s="20"/>
      <c r="G363" s="16"/>
      <c r="H363" s="16"/>
    </row>
    <row r="364" spans="1:8" x14ac:dyDescent="0.25">
      <c r="A364" s="20"/>
      <c r="B364" s="16"/>
      <c r="C364" s="16"/>
      <c r="D364" s="18"/>
      <c r="E364" s="18"/>
      <c r="F364" s="20"/>
      <c r="G364" s="16"/>
      <c r="H364" s="16"/>
    </row>
    <row r="365" spans="1:8" x14ac:dyDescent="0.25">
      <c r="A365" s="20"/>
      <c r="B365" s="16"/>
      <c r="C365" s="16"/>
      <c r="D365" s="18"/>
      <c r="E365" s="18"/>
      <c r="F365" s="20"/>
      <c r="G365" s="16"/>
      <c r="H365" s="16"/>
    </row>
    <row r="366" spans="1:8" x14ac:dyDescent="0.25">
      <c r="A366" s="20"/>
      <c r="B366" s="16"/>
      <c r="C366" s="16"/>
      <c r="D366" s="18"/>
      <c r="E366" s="18"/>
      <c r="F366" s="20"/>
      <c r="G366" s="16"/>
      <c r="H366" s="16"/>
    </row>
    <row r="367" spans="1:8" x14ac:dyDescent="0.25">
      <c r="A367" s="20"/>
      <c r="B367" s="16"/>
      <c r="C367" s="16"/>
      <c r="D367" s="18"/>
      <c r="E367" s="18"/>
      <c r="F367" s="20"/>
      <c r="G367" s="16"/>
      <c r="H367" s="16"/>
    </row>
    <row r="368" spans="1:8" x14ac:dyDescent="0.25">
      <c r="A368" s="20"/>
      <c r="B368" s="16"/>
      <c r="C368" s="16"/>
      <c r="D368" s="18"/>
      <c r="E368" s="18"/>
      <c r="F368" s="20"/>
      <c r="G368" s="16"/>
      <c r="H368" s="16"/>
    </row>
    <row r="369" spans="1:8" x14ac:dyDescent="0.25">
      <c r="A369" s="20"/>
      <c r="B369" s="16"/>
      <c r="C369" s="16"/>
      <c r="D369" s="18"/>
      <c r="E369" s="18"/>
      <c r="F369" s="20"/>
      <c r="G369" s="16"/>
      <c r="H369" s="16"/>
    </row>
    <row r="370" spans="1:8" x14ac:dyDescent="0.25">
      <c r="A370" s="20"/>
      <c r="B370" s="16"/>
      <c r="C370" s="16"/>
      <c r="D370" s="18"/>
      <c r="E370" s="18"/>
      <c r="F370" s="20"/>
      <c r="G370" s="16"/>
      <c r="H370" s="16"/>
    </row>
    <row r="371" spans="1:8" x14ac:dyDescent="0.25">
      <c r="A371" s="20"/>
      <c r="B371" s="16"/>
      <c r="C371" s="16"/>
      <c r="D371" s="18"/>
      <c r="E371" s="18"/>
      <c r="F371" s="20"/>
      <c r="G371" s="16"/>
      <c r="H371" s="16"/>
    </row>
    <row r="372" spans="1:8" x14ac:dyDescent="0.25">
      <c r="A372" s="20"/>
      <c r="B372" s="16"/>
      <c r="C372" s="16"/>
      <c r="D372" s="18"/>
      <c r="E372" s="18"/>
      <c r="F372" s="20"/>
      <c r="G372" s="16"/>
      <c r="H372" s="16"/>
    </row>
    <row r="373" spans="1:8" x14ac:dyDescent="0.25">
      <c r="A373" s="20"/>
      <c r="B373" s="16"/>
      <c r="C373" s="16"/>
      <c r="D373" s="18"/>
      <c r="E373" s="18"/>
      <c r="F373" s="20"/>
      <c r="G373" s="16"/>
      <c r="H373" s="16"/>
    </row>
    <row r="374" spans="1:8" x14ac:dyDescent="0.25">
      <c r="A374" s="20"/>
      <c r="B374" s="16"/>
      <c r="C374" s="16"/>
      <c r="D374" s="18"/>
      <c r="E374" s="18"/>
      <c r="F374" s="20"/>
      <c r="G374" s="16"/>
      <c r="H374" s="16"/>
    </row>
    <row r="375" spans="1:8" x14ac:dyDescent="0.25">
      <c r="A375" s="20"/>
      <c r="B375" s="16"/>
      <c r="C375" s="16"/>
      <c r="D375" s="18"/>
      <c r="E375" s="18"/>
      <c r="F375" s="20"/>
      <c r="G375" s="16"/>
      <c r="H375" s="16"/>
    </row>
    <row r="376" spans="1:8" x14ac:dyDescent="0.25">
      <c r="A376" s="20"/>
      <c r="B376" s="16"/>
      <c r="C376" s="16"/>
      <c r="D376" s="18"/>
      <c r="E376" s="18"/>
      <c r="F376" s="20"/>
      <c r="G376" s="16"/>
      <c r="H376" s="16"/>
    </row>
    <row r="377" spans="1:8" x14ac:dyDescent="0.25">
      <c r="A377" s="20"/>
      <c r="B377" s="16"/>
      <c r="C377" s="16"/>
      <c r="D377" s="18"/>
      <c r="E377" s="18"/>
      <c r="F377" s="20"/>
      <c r="G377" s="16"/>
      <c r="H377" s="16"/>
    </row>
    <row r="378" spans="1:8" x14ac:dyDescent="0.25">
      <c r="A378" s="20"/>
      <c r="B378" s="16"/>
      <c r="C378" s="16"/>
      <c r="D378" s="18"/>
      <c r="E378" s="18"/>
      <c r="F378" s="20"/>
      <c r="G378" s="16"/>
      <c r="H378" s="16"/>
    </row>
    <row r="379" spans="1:8" x14ac:dyDescent="0.25">
      <c r="A379" s="20"/>
      <c r="B379" s="16"/>
      <c r="C379" s="16"/>
      <c r="D379" s="18"/>
      <c r="E379" s="18"/>
      <c r="F379" s="20"/>
      <c r="G379" s="16"/>
      <c r="H379" s="16"/>
    </row>
    <row r="380" spans="1:8" x14ac:dyDescent="0.25">
      <c r="A380" s="20"/>
      <c r="B380" s="16"/>
      <c r="C380" s="16"/>
      <c r="D380" s="18"/>
      <c r="E380" s="18"/>
      <c r="F380" s="20"/>
      <c r="G380" s="16"/>
      <c r="H380" s="16"/>
    </row>
    <row r="381" spans="1:8" x14ac:dyDescent="0.25">
      <c r="A381" s="20"/>
      <c r="B381" s="16"/>
      <c r="C381" s="16"/>
      <c r="D381" s="18"/>
      <c r="E381" s="18"/>
      <c r="F381" s="20"/>
      <c r="G381" s="16"/>
      <c r="H381" s="16"/>
    </row>
    <row r="382" spans="1:8" x14ac:dyDescent="0.25">
      <c r="A382" s="20"/>
      <c r="B382" s="16"/>
      <c r="C382" s="16"/>
      <c r="D382" s="18"/>
      <c r="E382" s="18"/>
      <c r="F382" s="20"/>
      <c r="G382" s="16"/>
      <c r="H382" s="16"/>
    </row>
    <row r="383" spans="1:8" x14ac:dyDescent="0.25">
      <c r="A383" s="20"/>
      <c r="B383" s="16"/>
      <c r="C383" s="16"/>
      <c r="D383" s="18"/>
      <c r="E383" s="18"/>
      <c r="F383" s="20"/>
      <c r="G383" s="16"/>
      <c r="H383" s="16"/>
    </row>
    <row r="384" spans="1:8" x14ac:dyDescent="0.25">
      <c r="A384" s="20"/>
      <c r="B384" s="16"/>
      <c r="C384" s="16"/>
      <c r="D384" s="18"/>
      <c r="E384" s="18"/>
      <c r="F384" s="20"/>
      <c r="G384" s="16"/>
      <c r="H384" s="16"/>
    </row>
    <row r="385" spans="1:8" x14ac:dyDescent="0.25">
      <c r="A385" s="20"/>
      <c r="B385" s="16"/>
      <c r="C385" s="16"/>
      <c r="D385" s="18"/>
      <c r="E385" s="18"/>
      <c r="F385" s="20"/>
      <c r="G385" s="16"/>
      <c r="H385" s="16"/>
    </row>
    <row r="386" spans="1:8" x14ac:dyDescent="0.25">
      <c r="A386" s="20"/>
      <c r="B386" s="16"/>
      <c r="C386" s="16"/>
      <c r="D386" s="18"/>
      <c r="E386" s="18"/>
      <c r="F386" s="20"/>
      <c r="G386" s="16"/>
      <c r="H386" s="16"/>
    </row>
    <row r="387" spans="1:8" x14ac:dyDescent="0.25">
      <c r="A387" s="20"/>
      <c r="B387" s="16"/>
      <c r="C387" s="16"/>
      <c r="D387" s="18"/>
      <c r="E387" s="18"/>
      <c r="F387" s="20"/>
      <c r="G387" s="16"/>
      <c r="H387" s="16"/>
    </row>
    <row r="388" spans="1:8" x14ac:dyDescent="0.25">
      <c r="A388" s="20"/>
      <c r="B388" s="16"/>
      <c r="C388" s="16"/>
      <c r="D388" s="18"/>
      <c r="E388" s="18"/>
      <c r="F388" s="20"/>
      <c r="G388" s="16"/>
      <c r="H388" s="16"/>
    </row>
    <row r="389" spans="1:8" x14ac:dyDescent="0.25">
      <c r="A389" s="20"/>
      <c r="B389" s="16"/>
      <c r="C389" s="16"/>
      <c r="D389" s="18"/>
      <c r="E389" s="18"/>
      <c r="F389" s="20"/>
      <c r="G389" s="16"/>
      <c r="H389" s="16"/>
    </row>
    <row r="390" spans="1:8" x14ac:dyDescent="0.25">
      <c r="A390" s="20"/>
      <c r="B390" s="16"/>
      <c r="C390" s="16"/>
      <c r="D390" s="18"/>
      <c r="E390" s="18"/>
      <c r="F390" s="20"/>
      <c r="G390" s="16"/>
      <c r="H390" s="16"/>
    </row>
    <row r="391" spans="1:8" x14ac:dyDescent="0.25">
      <c r="A391" s="20"/>
      <c r="B391" s="16"/>
      <c r="C391" s="16"/>
      <c r="D391" s="18"/>
      <c r="E391" s="18"/>
      <c r="F391" s="20"/>
      <c r="G391" s="16"/>
      <c r="H391" s="16"/>
    </row>
    <row r="392" spans="1:8" x14ac:dyDescent="0.25">
      <c r="A392" s="20"/>
      <c r="B392" s="16"/>
      <c r="C392" s="16"/>
      <c r="D392" s="18"/>
      <c r="E392" s="18"/>
      <c r="F392" s="20"/>
      <c r="G392" s="16"/>
      <c r="H392" s="16"/>
    </row>
    <row r="393" spans="1:8" x14ac:dyDescent="0.25">
      <c r="A393" s="20"/>
      <c r="B393" s="16"/>
      <c r="C393" s="16"/>
      <c r="D393" s="18"/>
      <c r="E393" s="18"/>
      <c r="F393" s="20"/>
      <c r="G393" s="16"/>
      <c r="H393" s="16"/>
    </row>
    <row r="394" spans="1:8" x14ac:dyDescent="0.25">
      <c r="A394" s="20"/>
      <c r="B394" s="16"/>
      <c r="C394" s="16"/>
      <c r="D394" s="18"/>
      <c r="E394" s="18"/>
      <c r="F394" s="20"/>
      <c r="G394" s="16"/>
      <c r="H394" s="16"/>
    </row>
    <row r="395" spans="1:8" x14ac:dyDescent="0.25">
      <c r="A395" s="20"/>
      <c r="B395" s="16"/>
      <c r="C395" s="16"/>
      <c r="D395" s="18"/>
      <c r="E395" s="18"/>
      <c r="F395" s="20"/>
      <c r="G395" s="16"/>
      <c r="H395" s="16"/>
    </row>
    <row r="396" spans="1:8" x14ac:dyDescent="0.25">
      <c r="A396" s="20"/>
      <c r="B396" s="16"/>
      <c r="C396" s="16"/>
      <c r="D396" s="18"/>
      <c r="E396" s="18"/>
      <c r="F396" s="20"/>
      <c r="G396" s="16"/>
      <c r="H396" s="16"/>
    </row>
    <row r="397" spans="1:8" x14ac:dyDescent="0.25">
      <c r="A397" s="20"/>
      <c r="B397" s="16"/>
      <c r="C397" s="16"/>
      <c r="D397" s="18"/>
      <c r="E397" s="18"/>
      <c r="F397" s="20"/>
      <c r="G397" s="16"/>
      <c r="H397" s="16"/>
    </row>
    <row r="398" spans="1:8" x14ac:dyDescent="0.25">
      <c r="A398" s="20"/>
      <c r="B398" s="16"/>
      <c r="C398" s="16"/>
      <c r="D398" s="18"/>
      <c r="E398" s="18"/>
      <c r="F398" s="20"/>
      <c r="G398" s="16"/>
      <c r="H398" s="16"/>
    </row>
    <row r="399" spans="1:8" x14ac:dyDescent="0.25">
      <c r="A399" s="20"/>
      <c r="B399" s="16"/>
      <c r="C399" s="16"/>
      <c r="D399" s="18"/>
      <c r="E399" s="18"/>
      <c r="F399" s="20"/>
      <c r="G399" s="16"/>
      <c r="H399" s="16"/>
    </row>
    <row r="400" spans="1:8" x14ac:dyDescent="0.25">
      <c r="A400" s="20"/>
      <c r="B400" s="16"/>
      <c r="C400" s="16"/>
      <c r="D400" s="18"/>
      <c r="E400" s="18"/>
      <c r="F400" s="20"/>
      <c r="G400" s="16"/>
      <c r="H400" s="16"/>
    </row>
    <row r="401" spans="1:8" x14ac:dyDescent="0.25">
      <c r="A401" s="20"/>
      <c r="B401" s="16"/>
      <c r="C401" s="16"/>
      <c r="D401" s="18"/>
      <c r="E401" s="18"/>
      <c r="F401" s="20"/>
      <c r="G401" s="16"/>
      <c r="H401" s="16"/>
    </row>
    <row r="402" spans="1:8" x14ac:dyDescent="0.25">
      <c r="A402" s="20"/>
      <c r="B402" s="16"/>
      <c r="C402" s="16"/>
      <c r="D402" s="18"/>
      <c r="E402" s="18"/>
      <c r="F402" s="20"/>
      <c r="G402" s="16"/>
      <c r="H402" s="16"/>
    </row>
    <row r="403" spans="1:8" x14ac:dyDescent="0.25">
      <c r="A403" s="20"/>
      <c r="B403" s="16"/>
      <c r="C403" s="16"/>
      <c r="D403" s="18"/>
      <c r="E403" s="18"/>
      <c r="F403" s="20"/>
      <c r="G403" s="16"/>
      <c r="H403" s="16"/>
    </row>
    <row r="404" spans="1:8" x14ac:dyDescent="0.25">
      <c r="A404" s="20"/>
      <c r="B404" s="16"/>
      <c r="C404" s="16"/>
      <c r="D404" s="18"/>
      <c r="E404" s="18"/>
      <c r="F404" s="20"/>
      <c r="G404" s="16"/>
      <c r="H404" s="16"/>
    </row>
    <row r="405" spans="1:8" x14ac:dyDescent="0.25">
      <c r="A405" s="20"/>
      <c r="B405" s="16"/>
      <c r="C405" s="16"/>
      <c r="D405" s="18"/>
      <c r="E405" s="18"/>
      <c r="F405" s="20"/>
      <c r="G405" s="16"/>
      <c r="H405" s="16"/>
    </row>
    <row r="406" spans="1:8" x14ac:dyDescent="0.25">
      <c r="A406" s="20"/>
      <c r="B406" s="16"/>
      <c r="C406" s="16"/>
      <c r="D406" s="18"/>
      <c r="E406" s="18"/>
      <c r="F406" s="20"/>
      <c r="G406" s="16"/>
      <c r="H406" s="16"/>
    </row>
    <row r="407" spans="1:8" x14ac:dyDescent="0.25">
      <c r="A407" s="20"/>
      <c r="B407" s="16"/>
      <c r="C407" s="16"/>
      <c r="D407" s="18"/>
      <c r="E407" s="18"/>
      <c r="F407" s="20"/>
      <c r="G407" s="16"/>
      <c r="H407" s="16"/>
    </row>
    <row r="408" spans="1:8" x14ac:dyDescent="0.25">
      <c r="A408" s="20"/>
      <c r="B408" s="16"/>
      <c r="C408" s="16"/>
      <c r="D408" s="18"/>
      <c r="E408" s="18"/>
      <c r="F408" s="20"/>
      <c r="G408" s="16"/>
      <c r="H408" s="16"/>
    </row>
    <row r="409" spans="1:8" x14ac:dyDescent="0.25">
      <c r="A409" s="20"/>
      <c r="B409" s="16"/>
      <c r="C409" s="16"/>
      <c r="D409" s="18"/>
      <c r="E409" s="18"/>
      <c r="F409" s="20"/>
      <c r="G409" s="16"/>
      <c r="H409" s="16"/>
    </row>
    <row r="410" spans="1:8" x14ac:dyDescent="0.25">
      <c r="A410" s="20"/>
      <c r="B410" s="16"/>
      <c r="C410" s="16"/>
      <c r="D410" s="18"/>
      <c r="E410" s="18"/>
      <c r="F410" s="20"/>
      <c r="G410" s="16"/>
      <c r="H410" s="16"/>
    </row>
    <row r="411" spans="1:8" x14ac:dyDescent="0.25">
      <c r="A411" s="20"/>
      <c r="B411" s="16"/>
      <c r="C411" s="16"/>
      <c r="D411" s="18"/>
      <c r="E411" s="18"/>
      <c r="F411" s="20"/>
      <c r="G411" s="16"/>
      <c r="H411" s="16"/>
    </row>
    <row r="412" spans="1:8" x14ac:dyDescent="0.25">
      <c r="A412" s="20"/>
      <c r="B412" s="16"/>
      <c r="C412" s="16"/>
      <c r="D412" s="18"/>
      <c r="E412" s="18"/>
      <c r="F412" s="20"/>
      <c r="G412" s="16"/>
      <c r="H412" s="16"/>
    </row>
    <row r="413" spans="1:8" x14ac:dyDescent="0.25">
      <c r="A413" s="20"/>
      <c r="B413" s="16"/>
      <c r="C413" s="16"/>
      <c r="D413" s="18"/>
      <c r="E413" s="18"/>
      <c r="F413" s="20"/>
      <c r="G413" s="16"/>
      <c r="H413" s="16"/>
    </row>
    <row r="414" spans="1:8" x14ac:dyDescent="0.25">
      <c r="A414" s="20"/>
      <c r="B414" s="16"/>
      <c r="C414" s="16"/>
      <c r="D414" s="18"/>
      <c r="E414" s="18"/>
      <c r="F414" s="20"/>
      <c r="G414" s="16"/>
      <c r="H414" s="16"/>
    </row>
    <row r="415" spans="1:8" x14ac:dyDescent="0.25">
      <c r="A415" s="20"/>
      <c r="B415" s="16"/>
      <c r="C415" s="16"/>
      <c r="D415" s="18"/>
      <c r="E415" s="18"/>
      <c r="F415" s="20"/>
      <c r="G415" s="16"/>
      <c r="H415" s="16"/>
    </row>
    <row r="416" spans="1:8" x14ac:dyDescent="0.25">
      <c r="A416" s="20"/>
      <c r="B416" s="16"/>
      <c r="C416" s="16"/>
      <c r="D416" s="18"/>
      <c r="E416" s="18"/>
      <c r="F416" s="20"/>
      <c r="G416" s="16"/>
      <c r="H416" s="16"/>
    </row>
    <row r="417" spans="1:8" x14ac:dyDescent="0.25">
      <c r="A417" s="20"/>
      <c r="B417" s="16"/>
      <c r="C417" s="16"/>
      <c r="D417" s="18"/>
      <c r="E417" s="18"/>
      <c r="F417" s="20"/>
      <c r="G417" s="16"/>
      <c r="H417" s="16"/>
    </row>
    <row r="418" spans="1:8" x14ac:dyDescent="0.25">
      <c r="A418" s="20"/>
      <c r="B418" s="16"/>
      <c r="C418" s="16"/>
      <c r="D418" s="18"/>
      <c r="E418" s="18"/>
      <c r="F418" s="20"/>
      <c r="G418" s="16"/>
      <c r="H418" s="16"/>
    </row>
    <row r="419" spans="1:8" x14ac:dyDescent="0.25">
      <c r="A419" s="20"/>
      <c r="B419" s="16"/>
      <c r="C419" s="16"/>
      <c r="D419" s="18"/>
      <c r="E419" s="18"/>
      <c r="F419" s="20"/>
      <c r="G419" s="16"/>
      <c r="H419" s="16"/>
    </row>
    <row r="420" spans="1:8" x14ac:dyDescent="0.25">
      <c r="A420" s="20"/>
      <c r="B420" s="16"/>
      <c r="C420" s="16"/>
      <c r="D420" s="18"/>
      <c r="E420" s="18"/>
      <c r="F420" s="20"/>
      <c r="G420" s="16"/>
      <c r="H420" s="16"/>
    </row>
    <row r="421" spans="1:8" x14ac:dyDescent="0.25">
      <c r="A421" s="20"/>
      <c r="B421" s="16"/>
      <c r="C421" s="16"/>
      <c r="D421" s="18"/>
      <c r="E421" s="18"/>
      <c r="F421" s="20"/>
      <c r="G421" s="16"/>
      <c r="H421" s="16"/>
    </row>
    <row r="422" spans="1:8" x14ac:dyDescent="0.25">
      <c r="A422" s="20"/>
      <c r="B422" s="16"/>
      <c r="C422" s="16"/>
      <c r="D422" s="18"/>
      <c r="E422" s="18"/>
      <c r="F422" s="20"/>
      <c r="G422" s="16"/>
      <c r="H422" s="16"/>
    </row>
    <row r="423" spans="1:8" x14ac:dyDescent="0.25">
      <c r="A423" s="20"/>
      <c r="B423" s="16"/>
      <c r="C423" s="16"/>
      <c r="D423" s="18"/>
      <c r="E423" s="18"/>
      <c r="F423" s="20"/>
      <c r="G423" s="16"/>
      <c r="H423" s="16"/>
    </row>
    <row r="424" spans="1:8" x14ac:dyDescent="0.25">
      <c r="A424" s="20"/>
      <c r="B424" s="16"/>
      <c r="C424" s="16"/>
      <c r="D424" s="18"/>
      <c r="E424" s="18"/>
      <c r="F424" s="20"/>
      <c r="G424" s="16"/>
      <c r="H424" s="16"/>
    </row>
    <row r="425" spans="1:8" x14ac:dyDescent="0.25">
      <c r="A425" s="20"/>
      <c r="B425" s="16"/>
      <c r="C425" s="16"/>
      <c r="D425" s="18"/>
      <c r="E425" s="18"/>
      <c r="F425" s="20"/>
      <c r="G425" s="16"/>
      <c r="H425" s="16"/>
    </row>
    <row r="426" spans="1:8" x14ac:dyDescent="0.25">
      <c r="A426" s="20"/>
      <c r="B426" s="16"/>
      <c r="C426" s="16"/>
      <c r="D426" s="18"/>
      <c r="E426" s="18"/>
      <c r="F426" s="20"/>
      <c r="G426" s="16"/>
      <c r="H426" s="16"/>
    </row>
    <row r="427" spans="1:8" x14ac:dyDescent="0.25">
      <c r="A427" s="20"/>
      <c r="B427" s="16"/>
      <c r="C427" s="16"/>
      <c r="D427" s="18"/>
      <c r="E427" s="18"/>
      <c r="F427" s="20"/>
      <c r="G427" s="16"/>
      <c r="H427" s="16"/>
    </row>
    <row r="428" spans="1:8" x14ac:dyDescent="0.25">
      <c r="A428" s="20"/>
      <c r="B428" s="16"/>
      <c r="C428" s="16"/>
      <c r="D428" s="18"/>
      <c r="E428" s="18"/>
      <c r="F428" s="20"/>
      <c r="G428" s="16"/>
      <c r="H428" s="16"/>
    </row>
    <row r="429" spans="1:8" x14ac:dyDescent="0.25">
      <c r="A429" s="20"/>
      <c r="B429" s="16"/>
      <c r="C429" s="16"/>
      <c r="D429" s="18"/>
      <c r="E429" s="18"/>
      <c r="F429" s="20"/>
      <c r="G429" s="16"/>
      <c r="H429" s="16"/>
    </row>
    <row r="430" spans="1:8" x14ac:dyDescent="0.25">
      <c r="A430" s="20"/>
      <c r="B430" s="16"/>
      <c r="C430" s="16"/>
      <c r="D430" s="18"/>
      <c r="E430" s="18"/>
      <c r="F430" s="20"/>
      <c r="G430" s="16"/>
      <c r="H430" s="16"/>
    </row>
    <row r="431" spans="1:8" x14ac:dyDescent="0.25">
      <c r="A431" s="20"/>
      <c r="B431" s="16"/>
      <c r="C431" s="16"/>
      <c r="D431" s="18"/>
      <c r="E431" s="18"/>
      <c r="F431" s="20"/>
      <c r="G431" s="16"/>
      <c r="H431" s="16"/>
    </row>
    <row r="432" spans="1:8" x14ac:dyDescent="0.25">
      <c r="A432" s="20"/>
      <c r="B432" s="16"/>
      <c r="C432" s="16"/>
      <c r="D432" s="18"/>
      <c r="E432" s="18"/>
      <c r="F432" s="20"/>
      <c r="G432" s="16"/>
      <c r="H432" s="16"/>
    </row>
    <row r="433" spans="1:8" x14ac:dyDescent="0.25">
      <c r="A433" s="20"/>
      <c r="B433" s="16"/>
      <c r="C433" s="16"/>
      <c r="D433" s="18"/>
      <c r="E433" s="18"/>
      <c r="F433" s="20"/>
      <c r="G433" s="16"/>
      <c r="H433" s="16"/>
    </row>
    <row r="434" spans="1:8" x14ac:dyDescent="0.25">
      <c r="A434" s="20"/>
      <c r="B434" s="16"/>
      <c r="C434" s="16"/>
      <c r="D434" s="18"/>
      <c r="E434" s="18"/>
      <c r="F434" s="20"/>
      <c r="G434" s="16"/>
      <c r="H434" s="16"/>
    </row>
    <row r="435" spans="1:8" x14ac:dyDescent="0.25">
      <c r="A435" s="20"/>
      <c r="B435" s="16"/>
      <c r="C435" s="16"/>
      <c r="D435" s="18"/>
      <c r="E435" s="18"/>
      <c r="F435" s="20"/>
      <c r="G435" s="16"/>
      <c r="H435" s="16"/>
    </row>
    <row r="436" spans="1:8" x14ac:dyDescent="0.25">
      <c r="A436" s="20"/>
      <c r="B436" s="16"/>
      <c r="C436" s="16"/>
      <c r="D436" s="18"/>
      <c r="E436" s="18"/>
      <c r="F436" s="20"/>
      <c r="G436" s="16"/>
      <c r="H436" s="16"/>
    </row>
    <row r="437" spans="1:8" x14ac:dyDescent="0.25">
      <c r="A437" s="20"/>
      <c r="B437" s="16"/>
      <c r="C437" s="16"/>
      <c r="D437" s="18"/>
      <c r="E437" s="18"/>
      <c r="F437" s="20"/>
      <c r="G437" s="16"/>
      <c r="H437" s="16"/>
    </row>
    <row r="438" spans="1:8" x14ac:dyDescent="0.25">
      <c r="A438" s="20"/>
      <c r="B438" s="16"/>
      <c r="C438" s="16"/>
      <c r="D438" s="18"/>
      <c r="E438" s="18"/>
      <c r="F438" s="20"/>
      <c r="G438" s="16"/>
      <c r="H438" s="16"/>
    </row>
    <row r="439" spans="1:8" x14ac:dyDescent="0.25">
      <c r="A439" s="20"/>
      <c r="B439" s="16"/>
      <c r="C439" s="16"/>
      <c r="D439" s="18"/>
      <c r="E439" s="18"/>
      <c r="F439" s="20"/>
      <c r="G439" s="16"/>
      <c r="H439" s="16"/>
    </row>
    <row r="440" spans="1:8" x14ac:dyDescent="0.25">
      <c r="A440" s="20"/>
      <c r="B440" s="16"/>
      <c r="C440" s="16"/>
      <c r="D440" s="18"/>
      <c r="E440" s="18"/>
      <c r="F440" s="20"/>
      <c r="G440" s="16"/>
      <c r="H440" s="16"/>
    </row>
    <row r="441" spans="1:8" x14ac:dyDescent="0.25">
      <c r="A441" s="20"/>
      <c r="B441" s="16"/>
      <c r="C441" s="16"/>
      <c r="D441" s="18"/>
      <c r="E441" s="18"/>
      <c r="F441" s="20"/>
      <c r="G441" s="16"/>
      <c r="H441" s="16"/>
    </row>
    <row r="442" spans="1:8" x14ac:dyDescent="0.25">
      <c r="A442" s="20"/>
      <c r="B442" s="16"/>
      <c r="C442" s="16"/>
      <c r="D442" s="18"/>
      <c r="E442" s="18"/>
      <c r="F442" s="20"/>
      <c r="G442" s="16"/>
      <c r="H442" s="16"/>
    </row>
    <row r="443" spans="1:8" x14ac:dyDescent="0.25">
      <c r="A443" s="20"/>
      <c r="B443" s="16"/>
      <c r="C443" s="16"/>
      <c r="D443" s="18"/>
      <c r="E443" s="18"/>
      <c r="F443" s="20"/>
      <c r="G443" s="16"/>
      <c r="H443" s="16"/>
    </row>
    <row r="444" spans="1:8" x14ac:dyDescent="0.25">
      <c r="A444" s="20"/>
      <c r="B444" s="16"/>
      <c r="C444" s="16"/>
      <c r="D444" s="18"/>
      <c r="E444" s="18"/>
      <c r="F444" s="20"/>
      <c r="G444" s="16"/>
      <c r="H444" s="16"/>
    </row>
    <row r="445" spans="1:8" x14ac:dyDescent="0.25">
      <c r="A445" s="20"/>
      <c r="B445" s="16"/>
      <c r="C445" s="16"/>
      <c r="D445" s="18"/>
      <c r="E445" s="18"/>
      <c r="F445" s="20"/>
      <c r="G445" s="16"/>
      <c r="H445" s="16"/>
    </row>
    <row r="446" spans="1:8" x14ac:dyDescent="0.25">
      <c r="A446" s="20"/>
      <c r="B446" s="16"/>
      <c r="C446" s="16"/>
      <c r="D446" s="18"/>
      <c r="E446" s="18"/>
      <c r="F446" s="20"/>
      <c r="G446" s="16"/>
      <c r="H446" s="16"/>
    </row>
    <row r="447" spans="1:8" x14ac:dyDescent="0.25">
      <c r="A447" s="20"/>
      <c r="B447" s="16"/>
      <c r="C447" s="16"/>
      <c r="D447" s="18"/>
      <c r="E447" s="18"/>
      <c r="F447" s="20"/>
      <c r="G447" s="16"/>
      <c r="H447" s="16"/>
    </row>
    <row r="448" spans="1:8" x14ac:dyDescent="0.25">
      <c r="A448" s="20"/>
      <c r="B448" s="16"/>
      <c r="C448" s="16"/>
      <c r="D448" s="18"/>
      <c r="E448" s="18"/>
      <c r="F448" s="20"/>
      <c r="G448" s="16"/>
      <c r="H448" s="16"/>
    </row>
    <row r="449" spans="1:8" x14ac:dyDescent="0.25">
      <c r="A449" s="20"/>
      <c r="B449" s="16"/>
      <c r="C449" s="16"/>
      <c r="D449" s="18"/>
      <c r="E449" s="18"/>
      <c r="F449" s="20"/>
      <c r="G449" s="16"/>
      <c r="H449" s="16"/>
    </row>
    <row r="450" spans="1:8" x14ac:dyDescent="0.25">
      <c r="A450" s="20"/>
      <c r="B450" s="16"/>
      <c r="C450" s="16"/>
      <c r="D450" s="18"/>
      <c r="E450" s="18"/>
      <c r="F450" s="20"/>
      <c r="G450" s="16"/>
      <c r="H450" s="16"/>
    </row>
    <row r="451" spans="1:8" x14ac:dyDescent="0.25">
      <c r="A451" s="20"/>
      <c r="B451" s="16"/>
      <c r="C451" s="16"/>
      <c r="D451" s="18"/>
      <c r="E451" s="18"/>
      <c r="F451" s="20"/>
      <c r="G451" s="16"/>
      <c r="H451" s="16"/>
    </row>
    <row r="452" spans="1:8" x14ac:dyDescent="0.25">
      <c r="A452" s="20"/>
      <c r="B452" s="16"/>
      <c r="C452" s="16"/>
      <c r="D452" s="18"/>
      <c r="E452" s="18"/>
      <c r="F452" s="20"/>
      <c r="G452" s="16"/>
      <c r="H452" s="16"/>
    </row>
    <row r="453" spans="1:8" x14ac:dyDescent="0.25">
      <c r="A453" s="20"/>
      <c r="B453" s="16"/>
      <c r="C453" s="16"/>
      <c r="D453" s="18"/>
      <c r="E453" s="18"/>
      <c r="F453" s="20"/>
      <c r="G453" s="16"/>
      <c r="H453" s="16"/>
    </row>
    <row r="454" spans="1:8" x14ac:dyDescent="0.25">
      <c r="A454" s="20"/>
      <c r="B454" s="16"/>
      <c r="C454" s="16"/>
      <c r="D454" s="18"/>
      <c r="E454" s="18"/>
      <c r="F454" s="20"/>
      <c r="G454" s="16"/>
      <c r="H454" s="16"/>
    </row>
    <row r="455" spans="1:8" x14ac:dyDescent="0.25">
      <c r="A455" s="20"/>
      <c r="B455" s="16"/>
      <c r="C455" s="16"/>
      <c r="D455" s="18"/>
      <c r="E455" s="18"/>
      <c r="F455" s="20"/>
      <c r="G455" s="16"/>
      <c r="H455" s="16"/>
    </row>
    <row r="456" spans="1:8" x14ac:dyDescent="0.25">
      <c r="A456" s="20"/>
      <c r="B456" s="16"/>
      <c r="C456" s="16"/>
      <c r="D456" s="18"/>
      <c r="E456" s="18"/>
      <c r="F456" s="20"/>
      <c r="G456" s="16"/>
      <c r="H456" s="16"/>
    </row>
    <row r="457" spans="1:8" x14ac:dyDescent="0.25">
      <c r="A457" s="20"/>
      <c r="B457" s="16"/>
      <c r="C457" s="16"/>
      <c r="D457" s="18"/>
      <c r="E457" s="18"/>
      <c r="F457" s="20"/>
      <c r="G457" s="16"/>
      <c r="H457" s="16"/>
    </row>
    <row r="458" spans="1:8" x14ac:dyDescent="0.25">
      <c r="A458" s="20"/>
      <c r="B458" s="16"/>
      <c r="C458" s="16"/>
      <c r="D458" s="18"/>
      <c r="E458" s="18"/>
      <c r="F458" s="20"/>
      <c r="G458" s="16"/>
      <c r="H458" s="16"/>
    </row>
    <row r="459" spans="1:8" x14ac:dyDescent="0.25">
      <c r="A459" s="20"/>
      <c r="B459" s="16"/>
      <c r="C459" s="16"/>
      <c r="D459" s="18"/>
      <c r="E459" s="18"/>
      <c r="F459" s="20"/>
      <c r="G459" s="16"/>
      <c r="H459" s="16"/>
    </row>
    <row r="460" spans="1:8" x14ac:dyDescent="0.25">
      <c r="A460" s="20"/>
      <c r="B460" s="16"/>
      <c r="C460" s="16"/>
      <c r="D460" s="18"/>
      <c r="E460" s="18"/>
      <c r="F460" s="20"/>
      <c r="G460" s="16"/>
      <c r="H460" s="16"/>
    </row>
    <row r="461" spans="1:8" x14ac:dyDescent="0.25">
      <c r="A461" s="20"/>
      <c r="B461" s="16"/>
      <c r="C461" s="16"/>
      <c r="D461" s="18"/>
      <c r="E461" s="18"/>
      <c r="F461" s="20"/>
      <c r="G461" s="16"/>
      <c r="H461" s="16"/>
    </row>
    <row r="462" spans="1:8" x14ac:dyDescent="0.25">
      <c r="A462" s="20"/>
      <c r="B462" s="16"/>
      <c r="C462" s="16"/>
      <c r="D462" s="18"/>
      <c r="E462" s="18"/>
      <c r="F462" s="20"/>
      <c r="G462" s="16"/>
      <c r="H462" s="16"/>
    </row>
    <row r="463" spans="1:8" x14ac:dyDescent="0.25">
      <c r="A463" s="20"/>
      <c r="B463" s="16"/>
      <c r="C463" s="16"/>
      <c r="D463" s="18"/>
      <c r="E463" s="18"/>
      <c r="F463" s="20"/>
      <c r="G463" s="16"/>
      <c r="H463" s="16"/>
    </row>
    <row r="464" spans="1:8" x14ac:dyDescent="0.25">
      <c r="A464" s="20"/>
      <c r="B464" s="16"/>
      <c r="C464" s="16"/>
      <c r="D464" s="18"/>
      <c r="E464" s="18"/>
      <c r="F464" s="20"/>
      <c r="G464" s="16"/>
      <c r="H464" s="16"/>
    </row>
    <row r="465" spans="1:8" x14ac:dyDescent="0.25">
      <c r="A465" s="20"/>
      <c r="B465" s="16"/>
      <c r="C465" s="16"/>
      <c r="D465" s="18"/>
      <c r="E465" s="18"/>
      <c r="F465" s="20"/>
      <c r="G465" s="16"/>
      <c r="H465" s="16"/>
    </row>
    <row r="466" spans="1:8" x14ac:dyDescent="0.25">
      <c r="A466" s="20"/>
      <c r="B466" s="16"/>
      <c r="C466" s="16"/>
      <c r="D466" s="18"/>
      <c r="E466" s="18"/>
      <c r="F466" s="20"/>
      <c r="G466" s="16"/>
      <c r="H466" s="16"/>
    </row>
    <row r="467" spans="1:8" x14ac:dyDescent="0.25">
      <c r="A467" s="20"/>
      <c r="B467" s="16"/>
      <c r="C467" s="16"/>
      <c r="D467" s="18"/>
      <c r="E467" s="18"/>
      <c r="F467" s="20"/>
      <c r="G467" s="16"/>
      <c r="H467" s="16"/>
    </row>
    <row r="468" spans="1:8" x14ac:dyDescent="0.25">
      <c r="A468" s="20"/>
      <c r="B468" s="16"/>
      <c r="C468" s="16"/>
      <c r="D468" s="18"/>
      <c r="E468" s="18"/>
      <c r="F468" s="20"/>
      <c r="G468" s="16"/>
      <c r="H468" s="16"/>
    </row>
    <row r="469" spans="1:8" x14ac:dyDescent="0.25">
      <c r="A469" s="20"/>
      <c r="B469" s="16"/>
      <c r="C469" s="16"/>
      <c r="D469" s="18"/>
      <c r="E469" s="18"/>
      <c r="F469" s="20"/>
      <c r="G469" s="16"/>
      <c r="H469" s="16"/>
    </row>
    <row r="470" spans="1:8" x14ac:dyDescent="0.25">
      <c r="A470" s="20"/>
      <c r="B470" s="16"/>
      <c r="C470" s="16"/>
      <c r="D470" s="18"/>
      <c r="E470" s="18"/>
      <c r="F470" s="20"/>
      <c r="G470" s="16"/>
      <c r="H470" s="16"/>
    </row>
    <row r="471" spans="1:8" x14ac:dyDescent="0.25">
      <c r="A471" s="20"/>
      <c r="B471" s="16"/>
      <c r="C471" s="16"/>
      <c r="D471" s="18"/>
      <c r="E471" s="18"/>
      <c r="F471" s="20"/>
      <c r="G471" s="16"/>
      <c r="H471" s="16"/>
    </row>
    <row r="472" spans="1:8" x14ac:dyDescent="0.25">
      <c r="A472" s="20"/>
      <c r="B472" s="16"/>
      <c r="C472" s="16"/>
      <c r="D472" s="18"/>
      <c r="E472" s="18"/>
      <c r="F472" s="20"/>
      <c r="G472" s="16"/>
      <c r="H472" s="16"/>
    </row>
    <row r="473" spans="1:8" x14ac:dyDescent="0.25">
      <c r="A473" s="20"/>
      <c r="B473" s="16"/>
      <c r="C473" s="16"/>
      <c r="D473" s="18"/>
      <c r="E473" s="18"/>
      <c r="F473" s="20"/>
      <c r="G473" s="16"/>
      <c r="H473" s="16"/>
    </row>
    <row r="474" spans="1:8" x14ac:dyDescent="0.25">
      <c r="A474" s="20"/>
      <c r="B474" s="16"/>
      <c r="C474" s="16"/>
      <c r="D474" s="18"/>
      <c r="E474" s="18"/>
      <c r="F474" s="20"/>
      <c r="G474" s="16"/>
      <c r="H474" s="16"/>
    </row>
    <row r="475" spans="1:8" x14ac:dyDescent="0.25">
      <c r="A475" s="20"/>
      <c r="B475" s="16"/>
      <c r="C475" s="16"/>
      <c r="D475" s="18"/>
      <c r="E475" s="18"/>
      <c r="F475" s="20"/>
      <c r="G475" s="16"/>
      <c r="H475" s="16"/>
    </row>
    <row r="476" spans="1:8" x14ac:dyDescent="0.25">
      <c r="A476" s="20"/>
      <c r="B476" s="16"/>
      <c r="C476" s="16"/>
      <c r="D476" s="18"/>
      <c r="E476" s="18"/>
      <c r="F476" s="20"/>
      <c r="G476" s="16"/>
      <c r="H476" s="16"/>
    </row>
    <row r="477" spans="1:8" x14ac:dyDescent="0.25">
      <c r="A477" s="20"/>
      <c r="B477" s="16"/>
      <c r="C477" s="16"/>
      <c r="D477" s="18"/>
      <c r="E477" s="18"/>
      <c r="F477" s="20"/>
      <c r="G477" s="16"/>
      <c r="H477" s="16"/>
    </row>
    <row r="478" spans="1:8" x14ac:dyDescent="0.25">
      <c r="A478" s="20"/>
      <c r="B478" s="16"/>
      <c r="C478" s="16"/>
      <c r="D478" s="18"/>
      <c r="E478" s="18"/>
      <c r="F478" s="20"/>
      <c r="G478" s="16"/>
      <c r="H478" s="16"/>
    </row>
    <row r="479" spans="1:8" x14ac:dyDescent="0.25">
      <c r="A479" s="20"/>
      <c r="B479" s="16"/>
      <c r="C479" s="16"/>
      <c r="D479" s="18"/>
      <c r="E479" s="18"/>
      <c r="F479" s="20"/>
      <c r="G479" s="16"/>
      <c r="H479" s="16"/>
    </row>
    <row r="480" spans="1:8" x14ac:dyDescent="0.25">
      <c r="A480" s="20"/>
      <c r="B480" s="16"/>
      <c r="C480" s="16"/>
      <c r="D480" s="18"/>
      <c r="E480" s="18"/>
      <c r="F480" s="20"/>
      <c r="G480" s="16"/>
      <c r="H480" s="16"/>
    </row>
    <row r="481" spans="1:8" x14ac:dyDescent="0.25">
      <c r="A481" s="20"/>
      <c r="B481" s="16"/>
      <c r="C481" s="16"/>
      <c r="D481" s="18"/>
      <c r="E481" s="18"/>
      <c r="F481" s="20"/>
      <c r="G481" s="16"/>
      <c r="H481" s="16"/>
    </row>
    <row r="482" spans="1:8" x14ac:dyDescent="0.25">
      <c r="A482" s="20"/>
      <c r="B482" s="16"/>
      <c r="C482" s="16"/>
      <c r="D482" s="18"/>
      <c r="E482" s="18"/>
      <c r="F482" s="20"/>
      <c r="G482" s="16"/>
      <c r="H482" s="16"/>
    </row>
    <row r="483" spans="1:8" x14ac:dyDescent="0.25">
      <c r="A483" s="20"/>
      <c r="B483" s="16"/>
      <c r="C483" s="16"/>
      <c r="D483" s="18"/>
      <c r="E483" s="18"/>
      <c r="F483" s="20"/>
      <c r="G483" s="16"/>
      <c r="H483" s="16"/>
    </row>
    <row r="484" spans="1:8" x14ac:dyDescent="0.25">
      <c r="A484" s="20"/>
      <c r="B484" s="16"/>
      <c r="C484" s="16"/>
      <c r="D484" s="18"/>
      <c r="E484" s="18"/>
      <c r="F484" s="20"/>
      <c r="G484" s="16"/>
      <c r="H484" s="16"/>
    </row>
    <row r="485" spans="1:8" x14ac:dyDescent="0.25">
      <c r="A485" s="20"/>
      <c r="B485" s="16"/>
      <c r="C485" s="16"/>
      <c r="D485" s="18"/>
      <c r="E485" s="18"/>
      <c r="F485" s="20"/>
      <c r="G485" s="16"/>
      <c r="H485" s="16"/>
    </row>
    <row r="486" spans="1:8" x14ac:dyDescent="0.25">
      <c r="A486" s="20"/>
      <c r="B486" s="16"/>
      <c r="C486" s="16"/>
      <c r="D486" s="18"/>
      <c r="E486" s="18"/>
      <c r="F486" s="20"/>
      <c r="G486" s="16"/>
      <c r="H486" s="16"/>
    </row>
    <row r="487" spans="1:8" x14ac:dyDescent="0.25">
      <c r="A487" s="20"/>
      <c r="B487" s="16"/>
      <c r="C487" s="16"/>
      <c r="D487" s="18"/>
      <c r="E487" s="18"/>
      <c r="F487" s="20"/>
      <c r="G487" s="16"/>
      <c r="H487" s="16"/>
    </row>
    <row r="488" spans="1:8" x14ac:dyDescent="0.25">
      <c r="A488" s="20"/>
      <c r="B488" s="16"/>
      <c r="C488" s="16"/>
      <c r="D488" s="18"/>
      <c r="E488" s="18"/>
      <c r="F488" s="20"/>
      <c r="G488" s="16"/>
      <c r="H488" s="16"/>
    </row>
    <row r="489" spans="1:8" x14ac:dyDescent="0.25">
      <c r="A489" s="20"/>
      <c r="B489" s="16"/>
      <c r="C489" s="16"/>
      <c r="D489" s="18"/>
      <c r="E489" s="18"/>
      <c r="F489" s="20"/>
      <c r="G489" s="16"/>
      <c r="H489" s="16"/>
    </row>
    <row r="490" spans="1:8" x14ac:dyDescent="0.25">
      <c r="A490" s="20"/>
      <c r="B490" s="16"/>
      <c r="C490" s="16"/>
      <c r="D490" s="18"/>
      <c r="E490" s="18"/>
      <c r="F490" s="20"/>
      <c r="G490" s="16"/>
      <c r="H490" s="16"/>
    </row>
    <row r="491" spans="1:8" x14ac:dyDescent="0.25">
      <c r="A491" s="20"/>
      <c r="B491" s="16"/>
      <c r="C491" s="16"/>
      <c r="D491" s="18"/>
      <c r="E491" s="18"/>
      <c r="F491" s="20"/>
      <c r="G491" s="16"/>
      <c r="H491" s="16"/>
    </row>
    <row r="492" spans="1:8" x14ac:dyDescent="0.25">
      <c r="A492" s="20"/>
      <c r="B492" s="16"/>
      <c r="C492" s="16"/>
      <c r="D492" s="18"/>
      <c r="E492" s="18"/>
      <c r="F492" s="20"/>
      <c r="G492" s="16"/>
      <c r="H492" s="16"/>
    </row>
    <row r="493" spans="1:8" x14ac:dyDescent="0.25">
      <c r="A493" s="20"/>
      <c r="B493" s="16"/>
      <c r="C493" s="16"/>
      <c r="D493" s="18"/>
      <c r="E493" s="18"/>
      <c r="F493" s="20"/>
      <c r="G493" s="16"/>
      <c r="H493" s="16"/>
    </row>
    <row r="494" spans="1:8" x14ac:dyDescent="0.25">
      <c r="A494" s="20"/>
      <c r="B494" s="16"/>
      <c r="C494" s="16"/>
      <c r="D494" s="18"/>
      <c r="E494" s="18"/>
      <c r="F494" s="20"/>
      <c r="G494" s="16"/>
      <c r="H494" s="16"/>
    </row>
    <row r="495" spans="1:8" x14ac:dyDescent="0.25">
      <c r="A495" s="20"/>
      <c r="B495" s="16"/>
      <c r="C495" s="16"/>
      <c r="D495" s="18"/>
      <c r="E495" s="18"/>
      <c r="F495" s="20"/>
      <c r="G495" s="16"/>
      <c r="H495" s="16"/>
    </row>
    <row r="496" spans="1:8" x14ac:dyDescent="0.25">
      <c r="A496" s="20"/>
      <c r="B496" s="16"/>
      <c r="C496" s="16"/>
      <c r="D496" s="18"/>
      <c r="E496" s="18"/>
      <c r="F496" s="20"/>
      <c r="G496" s="16"/>
      <c r="H496" s="16"/>
    </row>
    <row r="497" spans="1:8" x14ac:dyDescent="0.25">
      <c r="A497" s="20"/>
      <c r="B497" s="16"/>
      <c r="C497" s="16"/>
      <c r="D497" s="18"/>
      <c r="E497" s="18"/>
      <c r="F497" s="20"/>
      <c r="G497" s="16"/>
      <c r="H497" s="16"/>
    </row>
    <row r="498" spans="1:8" x14ac:dyDescent="0.25">
      <c r="A498" s="20"/>
      <c r="B498" s="16"/>
      <c r="C498" s="16"/>
      <c r="D498" s="18"/>
      <c r="E498" s="18"/>
      <c r="F498" s="20"/>
      <c r="G498" s="16"/>
      <c r="H498" s="16"/>
    </row>
    <row r="499" spans="1:8" x14ac:dyDescent="0.25">
      <c r="A499" s="20"/>
      <c r="B499" s="16"/>
      <c r="C499" s="16"/>
      <c r="D499" s="18"/>
      <c r="E499" s="18"/>
      <c r="F499" s="20"/>
      <c r="G499" s="16"/>
      <c r="H499" s="16"/>
    </row>
    <row r="500" spans="1:8" x14ac:dyDescent="0.25">
      <c r="A500" s="20"/>
      <c r="B500" s="16"/>
      <c r="C500" s="16"/>
      <c r="D500" s="18"/>
      <c r="E500" s="18"/>
      <c r="F500" s="20"/>
      <c r="G500" s="16"/>
      <c r="H500" s="16"/>
    </row>
  </sheetData>
  <conditionalFormatting sqref="E5:E5000">
    <cfRule type="expression" dxfId="0" priority="1">
      <formula>AND(E5&lt;&gt;"",OR(E5&gt;D5,AND(E5&gt;0,C5&lt;&gt;"Ausschüttung")))</formula>
    </cfRule>
  </conditionalFormatting>
  <conditionalFormatting sqref="F5:F5000">
    <cfRule type="expression" dxfId="1" priority="2">
      <formula>AND(F5&lt;&gt;"",G5="Angekündigt",F5&lt;TODAY())</formula>
    </cfRule>
  </conditionalFormatting>
  <dataValidations count="6">
    <dataValidation type="date" operator="greaterThan" allowBlank="1" showErrorMessage="1" errorTitle="Datum" error="Bitte ein Datum eintragen." sqref="A5:A5000">
      <formula1>29221</formula1>
    </dataValidation>
    <dataValidation type="list" allowBlank="1" showErrorMessage="1" errorTitle="Fonds" error="Den Fonds zuerst im Blatt „Fonds“ anlegen, dann hier auswählen." sqref="B5:B5000">
      <formula1>Fonds!$A$5:$A$204</formula1>
    </dataValidation>
    <dataValidation type="list" allowBlank="1" showInputMessage="1" promptTitle="Art" prompt="Abruf = auf die Zusage angerechnet. Gebühr außerhalb der Zusage und Ausgleichszins mindern die offene Zusage nicht." showErrorMessage="1" errorTitle="Art" error="Bitte eine Art aus der Liste wählen." sqref="C5:C5000">
      <formula1>"Abruf,Ausschüttung,Gebühr außerhalb der Zusage,Ausgleichszins"</formula1>
    </dataValidation>
    <dataValidation type="decimal" operator="greaterThanOrEqual" allowBlank="1" showErrorMessage="1" errorTitle="Betrag" error="Beträge positiv eintragen. Die Richtung ergibt sich aus der Art." sqref="D5:E5000">
      <formula1>0</formula1>
    </dataValidation>
    <dataValidation type="date" operator="greaterThan" allowBlank="1" showErrorMessage="1" errorTitle="Fälligkeit" error="Bitte ein Datum eintragen." sqref="F5:F5000">
      <formula1>29221</formula1>
    </dataValidation>
    <dataValidation type="list" allowBlank="1" showErrorMessage="1" errorTitle="Status" error="Bitte einen Status aus der Liste wählen." sqref="G5:G5000">
      <formula1>"Angekündigt,Bezahlt,Erhalten"</formula1>
    </dataValidation>
  </dataValidations>
  <pageSetup paperSize="9" orientation="landscape"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1"/>
  <sheetViews>
    <sheetView workbookViewId="0" showGridLines="0"/>
  </sheetViews>
  <sheetFormatPr defaultRowHeight="16" outlineLevelRow="0" outlineLevelCol="0" x14ac:dyDescent="55" customHeight="1"/>
  <cols>
    <col min="1" max="1" width="36" customWidth="1"/>
    <col min="2" max="2" width="30" customWidth="1"/>
    <col min="3" max="3" width="12" customWidth="1"/>
    <col min="4" max="10" width="17" customWidth="1"/>
    <col min="11" max="11" width="15" customWidth="1"/>
    <col min="12" max="12" width="17" customWidth="1"/>
  </cols>
  <sheetData>
    <row r="1" ht="26" customHeight="1" spans="1:1" x14ac:dyDescent="0.25">
      <c r="A1" s="10" t="s">
        <v>76</v>
      </c>
    </row>
    <row r="2" spans="1:1" x14ac:dyDescent="0.25">
      <c r="A2" s="11" t="s">
        <v>77</v>
      </c>
    </row>
    <row r="3" spans="1:1" x14ac:dyDescent="0.25">
      <c r="A3" s="21" t="s">
        <v>78</v>
      </c>
    </row>
    <row r="4" spans="1:1" x14ac:dyDescent="0.25">
      <c r="A4" s="11" t="s">
        <v>79</v>
      </c>
    </row>
    <row r="5" ht="30" customHeight="1" spans="1:12" x14ac:dyDescent="0.25">
      <c r="A5" s="12" t="s">
        <v>35</v>
      </c>
      <c r="B5" s="12" t="s">
        <v>80</v>
      </c>
      <c r="C5" s="12" t="s">
        <v>81</v>
      </c>
      <c r="D5" s="12" t="s">
        <v>36</v>
      </c>
      <c r="E5" s="12" t="s">
        <v>82</v>
      </c>
      <c r="F5" s="12" t="s">
        <v>83</v>
      </c>
      <c r="G5" s="12" t="s">
        <v>84</v>
      </c>
      <c r="H5" s="12" t="s">
        <v>52</v>
      </c>
      <c r="I5" s="12" t="s">
        <v>85</v>
      </c>
      <c r="J5" s="12" t="s">
        <v>86</v>
      </c>
      <c r="K5" s="12" t="s">
        <v>87</v>
      </c>
      <c r="L5" s="12" t="s">
        <v>88</v>
      </c>
    </row>
    <row r="6" spans="1:12" x14ac:dyDescent="0.25">
      <c r="A6" s="22" t="s">
        <v>40</v>
      </c>
      <c r="B6" s="23"/>
      <c r="C6" s="24">
        <f>IF($A6="","",COUNTIFS($C$42:$C$241,$A6))</f>
      </c>
      <c r="D6" s="25">
        <f>IF($A6="","",SUMIFS($D$42:$D$241,$C$42:$C$241,$A6))</f>
      </c>
      <c r="E6" s="25">
        <f>IF($A6="","",SUMIFS($E$42:$E$241,$C$42:$C$241,$A6))</f>
      </c>
      <c r="F6" s="25">
        <f>IF($A6="","",SUMIFS($F$42:$F$241,$C$42:$C$241,$A6))</f>
      </c>
      <c r="G6" s="25">
        <f>IF($A6="","",SUMIFS($G$42:$G$241,$C$42:$C$241,$A6))</f>
      </c>
      <c r="H6" s="25">
        <f>IF($A6="","",SUMIFS($H$42:$H$241,$C$42:$C$241,$A6))</f>
      </c>
      <c r="I6" s="26">
        <f>IF($A6="","",SUMIFS($I$42:$I$241,$C$42:$C$241,$A6))</f>
      </c>
      <c r="J6" s="25">
        <f>IF($A6="","",SUMIFS($J$42:$J$241,$C$42:$C$241,$A6))</f>
      </c>
      <c r="K6" s="27">
        <f>IF($A6="","",IF(COUNTIFS($C$42:$C$241,$A6,$K$42:$K$241,"&gt;0")=0,"",MINIFS($K$42:$K$241,$C$42:$C$241,$A6,$K$42:$K$241,"&gt;0")))</f>
      </c>
      <c r="L6" s="25">
        <f>IF($A6="","",SUMIFS($L$42:$L$241,$C$42:$C$241,$A6))</f>
      </c>
    </row>
    <row r="7" spans="1:12" x14ac:dyDescent="0.25">
      <c r="A7" s="22" t="s">
        <v>43</v>
      </c>
      <c r="B7" s="23"/>
      <c r="C7" s="24">
        <f>IF($A7="","",COUNTIFS($C$42:$C$241,$A7))</f>
      </c>
      <c r="D7" s="25">
        <f>IF($A7="","",SUMIFS($D$42:$D$241,$C$42:$C$241,$A7))</f>
      </c>
      <c r="E7" s="25">
        <f>IF($A7="","",SUMIFS($E$42:$E$241,$C$42:$C$241,$A7))</f>
      </c>
      <c r="F7" s="25">
        <f>IF($A7="","",SUMIFS($F$42:$F$241,$C$42:$C$241,$A7))</f>
      </c>
      <c r="G7" s="25">
        <f>IF($A7="","",SUMIFS($G$42:$G$241,$C$42:$C$241,$A7))</f>
      </c>
      <c r="H7" s="25">
        <f>IF($A7="","",SUMIFS($H$42:$H$241,$C$42:$C$241,$A7))</f>
      </c>
      <c r="I7" s="26">
        <f>IF($A7="","",SUMIFS($I$42:$I$241,$C$42:$C$241,$A7))</f>
      </c>
      <c r="J7" s="25">
        <f>IF($A7="","",SUMIFS($J$42:$J$241,$C$42:$C$241,$A7))</f>
      </c>
      <c r="K7" s="27">
        <f>IF($A7="","",IF(COUNTIFS($C$42:$C$241,$A7,$K$42:$K$241,"&gt;0")=0,"",MINIFS($K$42:$K$241,$C$42:$C$241,$A7,$K$42:$K$241,"&gt;0")))</f>
      </c>
      <c r="L7" s="25">
        <f>IF($A7="","",SUMIFS($L$42:$L$241,$C$42:$C$241,$A7))</f>
      </c>
    </row>
    <row r="8" spans="1:12" x14ac:dyDescent="0.25">
      <c r="A8" s="22" t="s">
        <v>89</v>
      </c>
      <c r="B8" s="23"/>
      <c r="C8" s="24">
        <f>IF($A8="","",COUNTIFS($C$42:$C$241,$A8))</f>
      </c>
      <c r="D8" s="25">
        <f>IF($A8="","",SUMIFS($D$42:$D$241,$C$42:$C$241,$A8))</f>
      </c>
      <c r="E8" s="25">
        <f>IF($A8="","",SUMIFS($E$42:$E$241,$C$42:$C$241,$A8))</f>
      </c>
      <c r="F8" s="25">
        <f>IF($A8="","",SUMIFS($F$42:$F$241,$C$42:$C$241,$A8))</f>
      </c>
      <c r="G8" s="25">
        <f>IF($A8="","",SUMIFS($G$42:$G$241,$C$42:$C$241,$A8))</f>
      </c>
      <c r="H8" s="25">
        <f>IF($A8="","",SUMIFS($H$42:$H$241,$C$42:$C$241,$A8))</f>
      </c>
      <c r="I8" s="26">
        <f>IF($A8="","",SUMIFS($I$42:$I$241,$C$42:$C$241,$A8))</f>
      </c>
      <c r="J8" s="25">
        <f>IF($A8="","",SUMIFS($J$42:$J$241,$C$42:$C$241,$A8))</f>
      </c>
      <c r="K8" s="27">
        <f>IF($A8="","",IF(COUNTIFS($C$42:$C$241,$A8,$K$42:$K$241,"&gt;0")=0,"",MINIFS($K$42:$K$241,$C$42:$C$241,$A8,$K$42:$K$241,"&gt;0")))</f>
      </c>
      <c r="L8" s="25">
        <f>IF($A8="","",SUMIFS($L$42:$L$241,$C$42:$C$241,$A8))</f>
      </c>
    </row>
    <row r="9" spans="1:12" x14ac:dyDescent="0.25">
      <c r="A9" s="22" t="s">
        <v>90</v>
      </c>
      <c r="B9" s="23"/>
      <c r="C9" s="24">
        <f>IF($A9="","",COUNTIFS($C$42:$C$241,$A9))</f>
      </c>
      <c r="D9" s="25">
        <f>IF($A9="","",SUMIFS($D$42:$D$241,$C$42:$C$241,$A9))</f>
      </c>
      <c r="E9" s="25">
        <f>IF($A9="","",SUMIFS($E$42:$E$241,$C$42:$C$241,$A9))</f>
      </c>
      <c r="F9" s="25">
        <f>IF($A9="","",SUMIFS($F$42:$F$241,$C$42:$C$241,$A9))</f>
      </c>
      <c r="G9" s="25">
        <f>IF($A9="","",SUMIFS($G$42:$G$241,$C$42:$C$241,$A9))</f>
      </c>
      <c r="H9" s="25">
        <f>IF($A9="","",SUMIFS($H$42:$H$241,$C$42:$C$241,$A9))</f>
      </c>
      <c r="I9" s="26">
        <f>IF($A9="","",SUMIFS($I$42:$I$241,$C$42:$C$241,$A9))</f>
      </c>
      <c r="J9" s="25">
        <f>IF($A9="","",SUMIFS($J$42:$J$241,$C$42:$C$241,$A9))</f>
      </c>
      <c r="K9" s="27">
        <f>IF($A9="","",IF(COUNTIFS($C$42:$C$241,$A9,$K$42:$K$241,"&gt;0")=0,"",MINIFS($K$42:$K$241,$C$42:$C$241,$A9,$K$42:$K$241,"&gt;0")))</f>
      </c>
      <c r="L9" s="25">
        <f>IF($A9="","",SUMIFS($L$42:$L$241,$C$42:$C$241,$A9))</f>
      </c>
    </row>
    <row r="10" spans="1:12" x14ac:dyDescent="0.25">
      <c r="A10" s="22"/>
      <c r="B10" s="23"/>
      <c r="C10" s="24">
        <f>IF($A10="","",COUNTIFS($C$42:$C$241,$A10))</f>
      </c>
      <c r="D10" s="25">
        <f>IF($A10="","",SUMIFS($D$42:$D$241,$C$42:$C$241,$A10))</f>
      </c>
      <c r="E10" s="25">
        <f>IF($A10="","",SUMIFS($E$42:$E$241,$C$42:$C$241,$A10))</f>
      </c>
      <c r="F10" s="25">
        <f>IF($A10="","",SUMIFS($F$42:$F$241,$C$42:$C$241,$A10))</f>
      </c>
      <c r="G10" s="25">
        <f>IF($A10="","",SUMIFS($G$42:$G$241,$C$42:$C$241,$A10))</f>
      </c>
      <c r="H10" s="25">
        <f>IF($A10="","",SUMIFS($H$42:$H$241,$C$42:$C$241,$A10))</f>
      </c>
      <c r="I10" s="26">
        <f>IF($A10="","",SUMIFS($I$42:$I$241,$C$42:$C$241,$A10))</f>
      </c>
      <c r="J10" s="25">
        <f>IF($A10="","",SUMIFS($J$42:$J$241,$C$42:$C$241,$A10))</f>
      </c>
      <c r="K10" s="27">
        <f>IF($A10="","",IF(COUNTIFS($C$42:$C$241,$A10,$K$42:$K$241,"&gt;0")=0,"",MINIFS($K$42:$K$241,$C$42:$C$241,$A10,$K$42:$K$241,"&gt;0")))</f>
      </c>
      <c r="L10" s="25">
        <f>IF($A10="","",SUMIFS($L$42:$L$241,$C$42:$C$241,$A10))</f>
      </c>
    </row>
    <row r="11" spans="1:12" x14ac:dyDescent="0.25">
      <c r="A11" s="22"/>
      <c r="B11" s="23"/>
      <c r="C11" s="24">
        <f>IF($A11="","",COUNTIFS($C$42:$C$241,$A11))</f>
      </c>
      <c r="D11" s="25">
        <f>IF($A11="","",SUMIFS($D$42:$D$241,$C$42:$C$241,$A11))</f>
      </c>
      <c r="E11" s="25">
        <f>IF($A11="","",SUMIFS($E$42:$E$241,$C$42:$C$241,$A11))</f>
      </c>
      <c r="F11" s="25">
        <f>IF($A11="","",SUMIFS($F$42:$F$241,$C$42:$C$241,$A11))</f>
      </c>
      <c r="G11" s="25">
        <f>IF($A11="","",SUMIFS($G$42:$G$241,$C$42:$C$241,$A11))</f>
      </c>
      <c r="H11" s="25">
        <f>IF($A11="","",SUMIFS($H$42:$H$241,$C$42:$C$241,$A11))</f>
      </c>
      <c r="I11" s="26">
        <f>IF($A11="","",SUMIFS($I$42:$I$241,$C$42:$C$241,$A11))</f>
      </c>
      <c r="J11" s="25">
        <f>IF($A11="","",SUMIFS($J$42:$J$241,$C$42:$C$241,$A11))</f>
      </c>
      <c r="K11" s="27">
        <f>IF($A11="","",IF(COUNTIFS($C$42:$C$241,$A11,$K$42:$K$241,"&gt;0")=0,"",MINIFS($K$42:$K$241,$C$42:$C$241,$A11,$K$42:$K$241,"&gt;0")))</f>
      </c>
      <c r="L11" s="25">
        <f>IF($A11="","",SUMIFS($L$42:$L$241,$C$42:$C$241,$A11))</f>
      </c>
    </row>
    <row r="12" spans="1:1" x14ac:dyDescent="0.25">
      <c r="A12" s="28">
        <f>IF(SUM(C6:C11)=COUNTA(Fonds!$A$5:$A$204),"Prüfung: alle "&amp;COUNTA(Fonds!$A$5:$A$204)&amp;" Fonds sind erfasst.","Achtung: "&amp;IF(COUNTA(Fonds!$A$5:$A$204)-SUM(C6:C11)=1,"1 Fonds fehlt",""&amp;(COUNTA(Fonds!$A$5:$A$204)-SUM(C6:C11))&amp;" Fonds fehlen")&amp;" in dieser Tabelle. Ihre Währung in eine freie Zeile oben eintragen.")</f>
      </c>
    </row>
    <row r="14" spans="1:1" x14ac:dyDescent="0.25">
      <c r="A14" s="21" t="s">
        <v>91</v>
      </c>
    </row>
    <row r="15" spans="1:1" x14ac:dyDescent="0.25">
      <c r="A15" s="11" t="s">
        <v>92</v>
      </c>
    </row>
    <row r="16" ht="30" customHeight="1" spans="1:12" x14ac:dyDescent="0.25">
      <c r="A16" s="12" t="s">
        <v>33</v>
      </c>
      <c r="B16" s="12" t="s">
        <v>35</v>
      </c>
      <c r="C16" s="12" t="s">
        <v>81</v>
      </c>
      <c r="D16" s="12" t="s">
        <v>36</v>
      </c>
      <c r="E16" s="12" t="s">
        <v>82</v>
      </c>
      <c r="F16" s="12" t="s">
        <v>83</v>
      </c>
      <c r="G16" s="12" t="s">
        <v>84</v>
      </c>
      <c r="H16" s="12" t="s">
        <v>52</v>
      </c>
      <c r="I16" s="12" t="s">
        <v>85</v>
      </c>
      <c r="J16" s="12" t="s">
        <v>86</v>
      </c>
      <c r="K16" s="12" t="s">
        <v>87</v>
      </c>
      <c r="L16" s="12" t="s">
        <v>88</v>
      </c>
    </row>
    <row r="17" spans="1:12" x14ac:dyDescent="0.25">
      <c r="A17" s="13" t="s">
        <v>39</v>
      </c>
      <c r="B17" s="13" t="s">
        <v>40</v>
      </c>
      <c r="C17" s="24">
        <f>IF($A17="","",COUNTIFS($B$42:$B$241,$A17,$C$42:$C$241,$B17))</f>
      </c>
      <c r="D17" s="25">
        <f>IF($A17="","",SUMIFS($D$42:$D$241,$B$42:$B$241,$A17,$C$42:$C$241,$B17))</f>
      </c>
      <c r="E17" s="25">
        <f>IF($A17="","",SUMIFS($E$42:$E$241,$B$42:$B$241,$A17,$C$42:$C$241,$B17))</f>
      </c>
      <c r="F17" s="25">
        <f>IF($A17="","",SUMIFS($F$42:$F$241,$B$42:$B$241,$A17,$C$42:$C$241,$B17))</f>
      </c>
      <c r="G17" s="25">
        <f>IF($A17="","",SUMIFS($G$42:$G$241,$B$42:$B$241,$A17,$C$42:$C$241,$B17))</f>
      </c>
      <c r="H17" s="25">
        <f>IF($A17="","",SUMIFS($H$42:$H$241,$B$42:$B$241,$A17,$C$42:$C$241,$B17))</f>
      </c>
      <c r="I17" s="26">
        <f>IF($A17="","",SUMIFS($I$42:$I$241,$B$42:$B$241,$A17,$C$42:$C$241,$B17))</f>
      </c>
      <c r="J17" s="25">
        <f>IF($A17="","",SUMIFS($J$42:$J$241,$B$42:$B$241,$A17,$C$42:$C$241,$B17))</f>
      </c>
      <c r="K17" s="27">
        <f>IF($A17="","",IF(COUNTIFS($B$42:$B$241,$A17,$C$42:$C$241,$B17,$K$42:$K$241,"&gt;0")=0,"",MINIFS($K$42:$K$241,$B$42:$B$241,$A17,$C$42:$C$241,$B17,$K$42:$K$241,"&gt;0")))</f>
      </c>
      <c r="L17" s="25">
        <f>IF($A17="","",SUMIFS($L$42:$L$241,$B$42:$B$241,$A17,$C$42:$C$241,$B17))</f>
      </c>
    </row>
    <row r="18" spans="1:12" x14ac:dyDescent="0.25">
      <c r="A18" s="13" t="s">
        <v>39</v>
      </c>
      <c r="B18" s="13" t="s">
        <v>43</v>
      </c>
      <c r="C18" s="24">
        <f>IF($A18="","",COUNTIFS($B$42:$B$241,$A18,$C$42:$C$241,$B18))</f>
      </c>
      <c r="D18" s="25">
        <f>IF($A18="","",SUMIFS($D$42:$D$241,$B$42:$B$241,$A18,$C$42:$C$241,$B18))</f>
      </c>
      <c r="E18" s="25">
        <f>IF($A18="","",SUMIFS($E$42:$E$241,$B$42:$B$241,$A18,$C$42:$C$241,$B18))</f>
      </c>
      <c r="F18" s="25">
        <f>IF($A18="","",SUMIFS($F$42:$F$241,$B$42:$B$241,$A18,$C$42:$C$241,$B18))</f>
      </c>
      <c r="G18" s="25">
        <f>IF($A18="","",SUMIFS($G$42:$G$241,$B$42:$B$241,$A18,$C$42:$C$241,$B18))</f>
      </c>
      <c r="H18" s="25">
        <f>IF($A18="","",SUMIFS($H$42:$H$241,$B$42:$B$241,$A18,$C$42:$C$241,$B18))</f>
      </c>
      <c r="I18" s="26">
        <f>IF($A18="","",SUMIFS($I$42:$I$241,$B$42:$B$241,$A18,$C$42:$C$241,$B18))</f>
      </c>
      <c r="J18" s="25">
        <f>IF($A18="","",SUMIFS($J$42:$J$241,$B$42:$B$241,$A18,$C$42:$C$241,$B18))</f>
      </c>
      <c r="K18" s="27">
        <f>IF($A18="","",IF(COUNTIFS($B$42:$B$241,$A18,$C$42:$C$241,$B18,$K$42:$K$241,"&gt;0")=0,"",MINIFS($K$42:$K$241,$B$42:$B$241,$A18,$C$42:$C$241,$B18,$K$42:$K$241,"&gt;0")))</f>
      </c>
      <c r="L18" s="25">
        <f>IF($A18="","",SUMIFS($L$42:$L$241,$B$42:$B$241,$A18,$C$42:$C$241,$B18))</f>
      </c>
    </row>
    <row r="19" spans="1:12" x14ac:dyDescent="0.25">
      <c r="A19" s="13" t="s">
        <v>46</v>
      </c>
      <c r="B19" s="13" t="s">
        <v>40</v>
      </c>
      <c r="C19" s="24">
        <f>IF($A19="","",COUNTIFS($B$42:$B$241,$A19,$C$42:$C$241,$B19))</f>
      </c>
      <c r="D19" s="25">
        <f>IF($A19="","",SUMIFS($D$42:$D$241,$B$42:$B$241,$A19,$C$42:$C$241,$B19))</f>
      </c>
      <c r="E19" s="25">
        <f>IF($A19="","",SUMIFS($E$42:$E$241,$B$42:$B$241,$A19,$C$42:$C$241,$B19))</f>
      </c>
      <c r="F19" s="25">
        <f>IF($A19="","",SUMIFS($F$42:$F$241,$B$42:$B$241,$A19,$C$42:$C$241,$B19))</f>
      </c>
      <c r="G19" s="25">
        <f>IF($A19="","",SUMIFS($G$42:$G$241,$B$42:$B$241,$A19,$C$42:$C$241,$B19))</f>
      </c>
      <c r="H19" s="25">
        <f>IF($A19="","",SUMIFS($H$42:$H$241,$B$42:$B$241,$A19,$C$42:$C$241,$B19))</f>
      </c>
      <c r="I19" s="26">
        <f>IF($A19="","",SUMIFS($I$42:$I$241,$B$42:$B$241,$A19,$C$42:$C$241,$B19))</f>
      </c>
      <c r="J19" s="25">
        <f>IF($A19="","",SUMIFS($J$42:$J$241,$B$42:$B$241,$A19,$C$42:$C$241,$B19))</f>
      </c>
      <c r="K19" s="27">
        <f>IF($A19="","",IF(COUNTIFS($B$42:$B$241,$A19,$C$42:$C$241,$B19,$K$42:$K$241,"&gt;0")=0,"",MINIFS($K$42:$K$241,$B$42:$B$241,$A19,$C$42:$C$241,$B19,$K$42:$K$241,"&gt;0")))</f>
      </c>
      <c r="L19" s="25">
        <f>IF($A19="","",SUMIFS($L$42:$L$241,$B$42:$B$241,$A19,$C$42:$C$241,$B19))</f>
      </c>
    </row>
    <row r="20" spans="1:12" x14ac:dyDescent="0.25">
      <c r="A20" s="16"/>
      <c r="B20" s="16"/>
      <c r="C20" s="24">
        <f>IF($A20="","",COUNTIFS($B$42:$B$241,$A20,$C$42:$C$241,$B20))</f>
      </c>
      <c r="D20" s="25">
        <f>IF($A20="","",SUMIFS($D$42:$D$241,$B$42:$B$241,$A20,$C$42:$C$241,$B20))</f>
      </c>
      <c r="E20" s="25">
        <f>IF($A20="","",SUMIFS($E$42:$E$241,$B$42:$B$241,$A20,$C$42:$C$241,$B20))</f>
      </c>
      <c r="F20" s="25">
        <f>IF($A20="","",SUMIFS($F$42:$F$241,$B$42:$B$241,$A20,$C$42:$C$241,$B20))</f>
      </c>
      <c r="G20" s="25">
        <f>IF($A20="","",SUMIFS($G$42:$G$241,$B$42:$B$241,$A20,$C$42:$C$241,$B20))</f>
      </c>
      <c r="H20" s="25">
        <f>IF($A20="","",SUMIFS($H$42:$H$241,$B$42:$B$241,$A20,$C$42:$C$241,$B20))</f>
      </c>
      <c r="I20" s="26">
        <f>IF($A20="","",SUMIFS($I$42:$I$241,$B$42:$B$241,$A20,$C$42:$C$241,$B20))</f>
      </c>
      <c r="J20" s="25">
        <f>IF($A20="","",SUMIFS($J$42:$J$241,$B$42:$B$241,$A20,$C$42:$C$241,$B20))</f>
      </c>
      <c r="K20" s="27">
        <f>IF($A20="","",IF(COUNTIFS($B$42:$B$241,$A20,$C$42:$C$241,$B20,$K$42:$K$241,"&gt;0")=0,"",MINIFS($K$42:$K$241,$B$42:$B$241,$A20,$C$42:$C$241,$B20,$K$42:$K$241,"&gt;0")))</f>
      </c>
      <c r="L20" s="25">
        <f>IF($A20="","",SUMIFS($L$42:$L$241,$B$42:$B$241,$A20,$C$42:$C$241,$B20))</f>
      </c>
    </row>
    <row r="21" spans="1:12" x14ac:dyDescent="0.25">
      <c r="A21" s="16"/>
      <c r="B21" s="16"/>
      <c r="C21" s="24">
        <f>IF($A21="","",COUNTIFS($B$42:$B$241,$A21,$C$42:$C$241,$B21))</f>
      </c>
      <c r="D21" s="25">
        <f>IF($A21="","",SUMIFS($D$42:$D$241,$B$42:$B$241,$A21,$C$42:$C$241,$B21))</f>
      </c>
      <c r="E21" s="25">
        <f>IF($A21="","",SUMIFS($E$42:$E$241,$B$42:$B$241,$A21,$C$42:$C$241,$B21))</f>
      </c>
      <c r="F21" s="25">
        <f>IF($A21="","",SUMIFS($F$42:$F$241,$B$42:$B$241,$A21,$C$42:$C$241,$B21))</f>
      </c>
      <c r="G21" s="25">
        <f>IF($A21="","",SUMIFS($G$42:$G$241,$B$42:$B$241,$A21,$C$42:$C$241,$B21))</f>
      </c>
      <c r="H21" s="25">
        <f>IF($A21="","",SUMIFS($H$42:$H$241,$B$42:$B$241,$A21,$C$42:$C$241,$B21))</f>
      </c>
      <c r="I21" s="26">
        <f>IF($A21="","",SUMIFS($I$42:$I$241,$B$42:$B$241,$A21,$C$42:$C$241,$B21))</f>
      </c>
      <c r="J21" s="25">
        <f>IF($A21="","",SUMIFS($J$42:$J$241,$B$42:$B$241,$A21,$C$42:$C$241,$B21))</f>
      </c>
      <c r="K21" s="27">
        <f>IF($A21="","",IF(COUNTIFS($B$42:$B$241,$A21,$C$42:$C$241,$B21,$K$42:$K$241,"&gt;0")=0,"",MINIFS($K$42:$K$241,$B$42:$B$241,$A21,$C$42:$C$241,$B21,$K$42:$K$241,"&gt;0")))</f>
      </c>
      <c r="L21" s="25">
        <f>IF($A21="","",SUMIFS($L$42:$L$241,$B$42:$B$241,$A21,$C$42:$C$241,$B21))</f>
      </c>
    </row>
    <row r="22" spans="1:12" x14ac:dyDescent="0.25">
      <c r="A22" s="16"/>
      <c r="B22" s="16"/>
      <c r="C22" s="24">
        <f>IF($A22="","",COUNTIFS($B$42:$B$241,$A22,$C$42:$C$241,$B22))</f>
      </c>
      <c r="D22" s="25">
        <f>IF($A22="","",SUMIFS($D$42:$D$241,$B$42:$B$241,$A22,$C$42:$C$241,$B22))</f>
      </c>
      <c r="E22" s="25">
        <f>IF($A22="","",SUMIFS($E$42:$E$241,$B$42:$B$241,$A22,$C$42:$C$241,$B22))</f>
      </c>
      <c r="F22" s="25">
        <f>IF($A22="","",SUMIFS($F$42:$F$241,$B$42:$B$241,$A22,$C$42:$C$241,$B22))</f>
      </c>
      <c r="G22" s="25">
        <f>IF($A22="","",SUMIFS($G$42:$G$241,$B$42:$B$241,$A22,$C$42:$C$241,$B22))</f>
      </c>
      <c r="H22" s="25">
        <f>IF($A22="","",SUMIFS($H$42:$H$241,$B$42:$B$241,$A22,$C$42:$C$241,$B22))</f>
      </c>
      <c r="I22" s="26">
        <f>IF($A22="","",SUMIFS($I$42:$I$241,$B$42:$B$241,$A22,$C$42:$C$241,$B22))</f>
      </c>
      <c r="J22" s="25">
        <f>IF($A22="","",SUMIFS($J$42:$J$241,$B$42:$B$241,$A22,$C$42:$C$241,$B22))</f>
      </c>
      <c r="K22" s="27">
        <f>IF($A22="","",IF(COUNTIFS($B$42:$B$241,$A22,$C$42:$C$241,$B22,$K$42:$K$241,"&gt;0")=0,"",MINIFS($K$42:$K$241,$B$42:$B$241,$A22,$C$42:$C$241,$B22,$K$42:$K$241,"&gt;0")))</f>
      </c>
      <c r="L22" s="25">
        <f>IF($A22="","",SUMIFS($L$42:$L$241,$B$42:$B$241,$A22,$C$42:$C$241,$B22))</f>
      </c>
    </row>
    <row r="23" spans="1:12" x14ac:dyDescent="0.25">
      <c r="A23" s="16"/>
      <c r="B23" s="16"/>
      <c r="C23" s="24">
        <f>IF($A23="","",COUNTIFS($B$42:$B$241,$A23,$C$42:$C$241,$B23))</f>
      </c>
      <c r="D23" s="25">
        <f>IF($A23="","",SUMIFS($D$42:$D$241,$B$42:$B$241,$A23,$C$42:$C$241,$B23))</f>
      </c>
      <c r="E23" s="25">
        <f>IF($A23="","",SUMIFS($E$42:$E$241,$B$42:$B$241,$A23,$C$42:$C$241,$B23))</f>
      </c>
      <c r="F23" s="25">
        <f>IF($A23="","",SUMIFS($F$42:$F$241,$B$42:$B$241,$A23,$C$42:$C$241,$B23))</f>
      </c>
      <c r="G23" s="25">
        <f>IF($A23="","",SUMIFS($G$42:$G$241,$B$42:$B$241,$A23,$C$42:$C$241,$B23))</f>
      </c>
      <c r="H23" s="25">
        <f>IF($A23="","",SUMIFS($H$42:$H$241,$B$42:$B$241,$A23,$C$42:$C$241,$B23))</f>
      </c>
      <c r="I23" s="26">
        <f>IF($A23="","",SUMIFS($I$42:$I$241,$B$42:$B$241,$A23,$C$42:$C$241,$B23))</f>
      </c>
      <c r="J23" s="25">
        <f>IF($A23="","",SUMIFS($J$42:$J$241,$B$42:$B$241,$A23,$C$42:$C$241,$B23))</f>
      </c>
      <c r="K23" s="27">
        <f>IF($A23="","",IF(COUNTIFS($B$42:$B$241,$A23,$C$42:$C$241,$B23,$K$42:$K$241,"&gt;0")=0,"",MINIFS($K$42:$K$241,$B$42:$B$241,$A23,$C$42:$C$241,$B23,$K$42:$K$241,"&gt;0")))</f>
      </c>
      <c r="L23" s="25">
        <f>IF($A23="","",SUMIFS($L$42:$L$241,$B$42:$B$241,$A23,$C$42:$C$241,$B23))</f>
      </c>
    </row>
    <row r="24" spans="1:12" x14ac:dyDescent="0.25">
      <c r="A24" s="16"/>
      <c r="B24" s="16"/>
      <c r="C24" s="24">
        <f>IF($A24="","",COUNTIFS($B$42:$B$241,$A24,$C$42:$C$241,$B24))</f>
      </c>
      <c r="D24" s="25">
        <f>IF($A24="","",SUMIFS($D$42:$D$241,$B$42:$B$241,$A24,$C$42:$C$241,$B24))</f>
      </c>
      <c r="E24" s="25">
        <f>IF($A24="","",SUMIFS($E$42:$E$241,$B$42:$B$241,$A24,$C$42:$C$241,$B24))</f>
      </c>
      <c r="F24" s="25">
        <f>IF($A24="","",SUMIFS($F$42:$F$241,$B$42:$B$241,$A24,$C$42:$C$241,$B24))</f>
      </c>
      <c r="G24" s="25">
        <f>IF($A24="","",SUMIFS($G$42:$G$241,$B$42:$B$241,$A24,$C$42:$C$241,$B24))</f>
      </c>
      <c r="H24" s="25">
        <f>IF($A24="","",SUMIFS($H$42:$H$241,$B$42:$B$241,$A24,$C$42:$C$241,$B24))</f>
      </c>
      <c r="I24" s="26">
        <f>IF($A24="","",SUMIFS($I$42:$I$241,$B$42:$B$241,$A24,$C$42:$C$241,$B24))</f>
      </c>
      <c r="J24" s="25">
        <f>IF($A24="","",SUMIFS($J$42:$J$241,$B$42:$B$241,$A24,$C$42:$C$241,$B24))</f>
      </c>
      <c r="K24" s="27">
        <f>IF($A24="","",IF(COUNTIFS($B$42:$B$241,$A24,$C$42:$C$241,$B24,$K$42:$K$241,"&gt;0")=0,"",MINIFS($K$42:$K$241,$B$42:$B$241,$A24,$C$42:$C$241,$B24,$K$42:$K$241,"&gt;0")))</f>
      </c>
      <c r="L24" s="25">
        <f>IF($A24="","",SUMIFS($L$42:$L$241,$B$42:$B$241,$A24,$C$42:$C$241,$B24))</f>
      </c>
    </row>
    <row r="25" spans="1:12" x14ac:dyDescent="0.25">
      <c r="A25" s="16"/>
      <c r="B25" s="16"/>
      <c r="C25" s="24">
        <f>IF($A25="","",COUNTIFS($B$42:$B$241,$A25,$C$42:$C$241,$B25))</f>
      </c>
      <c r="D25" s="25">
        <f>IF($A25="","",SUMIFS($D$42:$D$241,$B$42:$B$241,$A25,$C$42:$C$241,$B25))</f>
      </c>
      <c r="E25" s="25">
        <f>IF($A25="","",SUMIFS($E$42:$E$241,$B$42:$B$241,$A25,$C$42:$C$241,$B25))</f>
      </c>
      <c r="F25" s="25">
        <f>IF($A25="","",SUMIFS($F$42:$F$241,$B$42:$B$241,$A25,$C$42:$C$241,$B25))</f>
      </c>
      <c r="G25" s="25">
        <f>IF($A25="","",SUMIFS($G$42:$G$241,$B$42:$B$241,$A25,$C$42:$C$241,$B25))</f>
      </c>
      <c r="H25" s="25">
        <f>IF($A25="","",SUMIFS($H$42:$H$241,$B$42:$B$241,$A25,$C$42:$C$241,$B25))</f>
      </c>
      <c r="I25" s="26">
        <f>IF($A25="","",SUMIFS($I$42:$I$241,$B$42:$B$241,$A25,$C$42:$C$241,$B25))</f>
      </c>
      <c r="J25" s="25">
        <f>IF($A25="","",SUMIFS($J$42:$J$241,$B$42:$B$241,$A25,$C$42:$C$241,$B25))</f>
      </c>
      <c r="K25" s="27">
        <f>IF($A25="","",IF(COUNTIFS($B$42:$B$241,$A25,$C$42:$C$241,$B25,$K$42:$K$241,"&gt;0")=0,"",MINIFS($K$42:$K$241,$B$42:$B$241,$A25,$C$42:$C$241,$B25,$K$42:$K$241,"&gt;0")))</f>
      </c>
      <c r="L25" s="25">
        <f>IF($A25="","",SUMIFS($L$42:$L$241,$B$42:$B$241,$A25,$C$42:$C$241,$B25))</f>
      </c>
    </row>
    <row r="26" spans="1:12" x14ac:dyDescent="0.25">
      <c r="A26" s="16"/>
      <c r="B26" s="16"/>
      <c r="C26" s="24">
        <f>IF($A26="","",COUNTIFS($B$42:$B$241,$A26,$C$42:$C$241,$B26))</f>
      </c>
      <c r="D26" s="25">
        <f>IF($A26="","",SUMIFS($D$42:$D$241,$B$42:$B$241,$A26,$C$42:$C$241,$B26))</f>
      </c>
      <c r="E26" s="25">
        <f>IF($A26="","",SUMIFS($E$42:$E$241,$B$42:$B$241,$A26,$C$42:$C$241,$B26))</f>
      </c>
      <c r="F26" s="25">
        <f>IF($A26="","",SUMIFS($F$42:$F$241,$B$42:$B$241,$A26,$C$42:$C$241,$B26))</f>
      </c>
      <c r="G26" s="25">
        <f>IF($A26="","",SUMIFS($G$42:$G$241,$B$42:$B$241,$A26,$C$42:$C$241,$B26))</f>
      </c>
      <c r="H26" s="25">
        <f>IF($A26="","",SUMIFS($H$42:$H$241,$B$42:$B$241,$A26,$C$42:$C$241,$B26))</f>
      </c>
      <c r="I26" s="26">
        <f>IF($A26="","",SUMIFS($I$42:$I$241,$B$42:$B$241,$A26,$C$42:$C$241,$B26))</f>
      </c>
      <c r="J26" s="25">
        <f>IF($A26="","",SUMIFS($J$42:$J$241,$B$42:$B$241,$A26,$C$42:$C$241,$B26))</f>
      </c>
      <c r="K26" s="27">
        <f>IF($A26="","",IF(COUNTIFS($B$42:$B$241,$A26,$C$42:$C$241,$B26,$K$42:$K$241,"&gt;0")=0,"",MINIFS($K$42:$K$241,$B$42:$B$241,$A26,$C$42:$C$241,$B26,$K$42:$K$241,"&gt;0")))</f>
      </c>
      <c r="L26" s="25">
        <f>IF($A26="","",SUMIFS($L$42:$L$241,$B$42:$B$241,$A26,$C$42:$C$241,$B26))</f>
      </c>
    </row>
    <row r="27" spans="1:12" x14ac:dyDescent="0.25">
      <c r="A27" s="16"/>
      <c r="B27" s="16"/>
      <c r="C27" s="24">
        <f>IF($A27="","",COUNTIFS($B$42:$B$241,$A27,$C$42:$C$241,$B27))</f>
      </c>
      <c r="D27" s="25">
        <f>IF($A27="","",SUMIFS($D$42:$D$241,$B$42:$B$241,$A27,$C$42:$C$241,$B27))</f>
      </c>
      <c r="E27" s="25">
        <f>IF($A27="","",SUMIFS($E$42:$E$241,$B$42:$B$241,$A27,$C$42:$C$241,$B27))</f>
      </c>
      <c r="F27" s="25">
        <f>IF($A27="","",SUMIFS($F$42:$F$241,$B$42:$B$241,$A27,$C$42:$C$241,$B27))</f>
      </c>
      <c r="G27" s="25">
        <f>IF($A27="","",SUMIFS($G$42:$G$241,$B$42:$B$241,$A27,$C$42:$C$241,$B27))</f>
      </c>
      <c r="H27" s="25">
        <f>IF($A27="","",SUMIFS($H$42:$H$241,$B$42:$B$241,$A27,$C$42:$C$241,$B27))</f>
      </c>
      <c r="I27" s="26">
        <f>IF($A27="","",SUMIFS($I$42:$I$241,$B$42:$B$241,$A27,$C$42:$C$241,$B27))</f>
      </c>
      <c r="J27" s="25">
        <f>IF($A27="","",SUMIFS($J$42:$J$241,$B$42:$B$241,$A27,$C$42:$C$241,$B27))</f>
      </c>
      <c r="K27" s="27">
        <f>IF($A27="","",IF(COUNTIFS($B$42:$B$241,$A27,$C$42:$C$241,$B27,$K$42:$K$241,"&gt;0")=0,"",MINIFS($K$42:$K$241,$B$42:$B$241,$A27,$C$42:$C$241,$B27,$K$42:$K$241,"&gt;0")))</f>
      </c>
      <c r="L27" s="25">
        <f>IF($A27="","",SUMIFS($L$42:$L$241,$B$42:$B$241,$A27,$C$42:$C$241,$B27))</f>
      </c>
    </row>
    <row r="28" spans="1:12" x14ac:dyDescent="0.25">
      <c r="A28" s="16"/>
      <c r="B28" s="16"/>
      <c r="C28" s="24">
        <f>IF($A28="","",COUNTIFS($B$42:$B$241,$A28,$C$42:$C$241,$B28))</f>
      </c>
      <c r="D28" s="25">
        <f>IF($A28="","",SUMIFS($D$42:$D$241,$B$42:$B$241,$A28,$C$42:$C$241,$B28))</f>
      </c>
      <c r="E28" s="25">
        <f>IF($A28="","",SUMIFS($E$42:$E$241,$B$42:$B$241,$A28,$C$42:$C$241,$B28))</f>
      </c>
      <c r="F28" s="25">
        <f>IF($A28="","",SUMIFS($F$42:$F$241,$B$42:$B$241,$A28,$C$42:$C$241,$B28))</f>
      </c>
      <c r="G28" s="25">
        <f>IF($A28="","",SUMIFS($G$42:$G$241,$B$42:$B$241,$A28,$C$42:$C$241,$B28))</f>
      </c>
      <c r="H28" s="25">
        <f>IF($A28="","",SUMIFS($H$42:$H$241,$B$42:$B$241,$A28,$C$42:$C$241,$B28))</f>
      </c>
      <c r="I28" s="26">
        <f>IF($A28="","",SUMIFS($I$42:$I$241,$B$42:$B$241,$A28,$C$42:$C$241,$B28))</f>
      </c>
      <c r="J28" s="25">
        <f>IF($A28="","",SUMIFS($J$42:$J$241,$B$42:$B$241,$A28,$C$42:$C$241,$B28))</f>
      </c>
      <c r="K28" s="27">
        <f>IF($A28="","",IF(COUNTIFS($B$42:$B$241,$A28,$C$42:$C$241,$B28,$K$42:$K$241,"&gt;0")=0,"",MINIFS($K$42:$K$241,$B$42:$B$241,$A28,$C$42:$C$241,$B28,$K$42:$K$241,"&gt;0")))</f>
      </c>
      <c r="L28" s="25">
        <f>IF($A28="","",SUMIFS($L$42:$L$241,$B$42:$B$241,$A28,$C$42:$C$241,$B28))</f>
      </c>
    </row>
    <row r="29" spans="1:12" x14ac:dyDescent="0.25">
      <c r="A29" s="16"/>
      <c r="B29" s="16"/>
      <c r="C29" s="24">
        <f>IF($A29="","",COUNTIFS($B$42:$B$241,$A29,$C$42:$C$241,$B29))</f>
      </c>
      <c r="D29" s="25">
        <f>IF($A29="","",SUMIFS($D$42:$D$241,$B$42:$B$241,$A29,$C$42:$C$241,$B29))</f>
      </c>
      <c r="E29" s="25">
        <f>IF($A29="","",SUMIFS($E$42:$E$241,$B$42:$B$241,$A29,$C$42:$C$241,$B29))</f>
      </c>
      <c r="F29" s="25">
        <f>IF($A29="","",SUMIFS($F$42:$F$241,$B$42:$B$241,$A29,$C$42:$C$241,$B29))</f>
      </c>
      <c r="G29" s="25">
        <f>IF($A29="","",SUMIFS($G$42:$G$241,$B$42:$B$241,$A29,$C$42:$C$241,$B29))</f>
      </c>
      <c r="H29" s="25">
        <f>IF($A29="","",SUMIFS($H$42:$H$241,$B$42:$B$241,$A29,$C$42:$C$241,$B29))</f>
      </c>
      <c r="I29" s="26">
        <f>IF($A29="","",SUMIFS($I$42:$I$241,$B$42:$B$241,$A29,$C$42:$C$241,$B29))</f>
      </c>
      <c r="J29" s="25">
        <f>IF($A29="","",SUMIFS($J$42:$J$241,$B$42:$B$241,$A29,$C$42:$C$241,$B29))</f>
      </c>
      <c r="K29" s="27">
        <f>IF($A29="","",IF(COUNTIFS($B$42:$B$241,$A29,$C$42:$C$241,$B29,$K$42:$K$241,"&gt;0")=0,"",MINIFS($K$42:$K$241,$B$42:$B$241,$A29,$C$42:$C$241,$B29,$K$42:$K$241,"&gt;0")))</f>
      </c>
      <c r="L29" s="25">
        <f>IF($A29="","",SUMIFS($L$42:$L$241,$B$42:$B$241,$A29,$C$42:$C$241,$B29))</f>
      </c>
    </row>
    <row r="30" spans="1:12" x14ac:dyDescent="0.25">
      <c r="A30" s="16"/>
      <c r="B30" s="16"/>
      <c r="C30" s="24">
        <f>IF($A30="","",COUNTIFS($B$42:$B$241,$A30,$C$42:$C$241,$B30))</f>
      </c>
      <c r="D30" s="25">
        <f>IF($A30="","",SUMIFS($D$42:$D$241,$B$42:$B$241,$A30,$C$42:$C$241,$B30))</f>
      </c>
      <c r="E30" s="25">
        <f>IF($A30="","",SUMIFS($E$42:$E$241,$B$42:$B$241,$A30,$C$42:$C$241,$B30))</f>
      </c>
      <c r="F30" s="25">
        <f>IF($A30="","",SUMIFS($F$42:$F$241,$B$42:$B$241,$A30,$C$42:$C$241,$B30))</f>
      </c>
      <c r="G30" s="25">
        <f>IF($A30="","",SUMIFS($G$42:$G$241,$B$42:$B$241,$A30,$C$42:$C$241,$B30))</f>
      </c>
      <c r="H30" s="25">
        <f>IF($A30="","",SUMIFS($H$42:$H$241,$B$42:$B$241,$A30,$C$42:$C$241,$B30))</f>
      </c>
      <c r="I30" s="26">
        <f>IF($A30="","",SUMIFS($I$42:$I$241,$B$42:$B$241,$A30,$C$42:$C$241,$B30))</f>
      </c>
      <c r="J30" s="25">
        <f>IF($A30="","",SUMIFS($J$42:$J$241,$B$42:$B$241,$A30,$C$42:$C$241,$B30))</f>
      </c>
      <c r="K30" s="27">
        <f>IF($A30="","",IF(COUNTIFS($B$42:$B$241,$A30,$C$42:$C$241,$B30,$K$42:$K$241,"&gt;0")=0,"",MINIFS($K$42:$K$241,$B$42:$B$241,$A30,$C$42:$C$241,$B30,$K$42:$K$241,"&gt;0")))</f>
      </c>
      <c r="L30" s="25">
        <f>IF($A30="","",SUMIFS($L$42:$L$241,$B$42:$B$241,$A30,$C$42:$C$241,$B30))</f>
      </c>
    </row>
    <row r="31" spans="1:12" x14ac:dyDescent="0.25">
      <c r="A31" s="16"/>
      <c r="B31" s="16"/>
      <c r="C31" s="24">
        <f>IF($A31="","",COUNTIFS($B$42:$B$241,$A31,$C$42:$C$241,$B31))</f>
      </c>
      <c r="D31" s="25">
        <f>IF($A31="","",SUMIFS($D$42:$D$241,$B$42:$B$241,$A31,$C$42:$C$241,$B31))</f>
      </c>
      <c r="E31" s="25">
        <f>IF($A31="","",SUMIFS($E$42:$E$241,$B$42:$B$241,$A31,$C$42:$C$241,$B31))</f>
      </c>
      <c r="F31" s="25">
        <f>IF($A31="","",SUMIFS($F$42:$F$241,$B$42:$B$241,$A31,$C$42:$C$241,$B31))</f>
      </c>
      <c r="G31" s="25">
        <f>IF($A31="","",SUMIFS($G$42:$G$241,$B$42:$B$241,$A31,$C$42:$C$241,$B31))</f>
      </c>
      <c r="H31" s="25">
        <f>IF($A31="","",SUMIFS($H$42:$H$241,$B$42:$B$241,$A31,$C$42:$C$241,$B31))</f>
      </c>
      <c r="I31" s="26">
        <f>IF($A31="","",SUMIFS($I$42:$I$241,$B$42:$B$241,$A31,$C$42:$C$241,$B31))</f>
      </c>
      <c r="J31" s="25">
        <f>IF($A31="","",SUMIFS($J$42:$J$241,$B$42:$B$241,$A31,$C$42:$C$241,$B31))</f>
      </c>
      <c r="K31" s="27">
        <f>IF($A31="","",IF(COUNTIFS($B$42:$B$241,$A31,$C$42:$C$241,$B31,$K$42:$K$241,"&gt;0")=0,"",MINIFS($K$42:$K$241,$B$42:$B$241,$A31,$C$42:$C$241,$B31,$K$42:$K$241,"&gt;0")))</f>
      </c>
      <c r="L31" s="25">
        <f>IF($A31="","",SUMIFS($L$42:$L$241,$B$42:$B$241,$A31,$C$42:$C$241,$B31))</f>
      </c>
    </row>
    <row r="32" spans="1:12" x14ac:dyDescent="0.25">
      <c r="A32" s="16"/>
      <c r="B32" s="16"/>
      <c r="C32" s="24">
        <f>IF($A32="","",COUNTIFS($B$42:$B$241,$A32,$C$42:$C$241,$B32))</f>
      </c>
      <c r="D32" s="25">
        <f>IF($A32="","",SUMIFS($D$42:$D$241,$B$42:$B$241,$A32,$C$42:$C$241,$B32))</f>
      </c>
      <c r="E32" s="25">
        <f>IF($A32="","",SUMIFS($E$42:$E$241,$B$42:$B$241,$A32,$C$42:$C$241,$B32))</f>
      </c>
      <c r="F32" s="25">
        <f>IF($A32="","",SUMIFS($F$42:$F$241,$B$42:$B$241,$A32,$C$42:$C$241,$B32))</f>
      </c>
      <c r="G32" s="25">
        <f>IF($A32="","",SUMIFS($G$42:$G$241,$B$42:$B$241,$A32,$C$42:$C$241,$B32))</f>
      </c>
      <c r="H32" s="25">
        <f>IF($A32="","",SUMIFS($H$42:$H$241,$B$42:$B$241,$A32,$C$42:$C$241,$B32))</f>
      </c>
      <c r="I32" s="26">
        <f>IF($A32="","",SUMIFS($I$42:$I$241,$B$42:$B$241,$A32,$C$42:$C$241,$B32))</f>
      </c>
      <c r="J32" s="25">
        <f>IF($A32="","",SUMIFS($J$42:$J$241,$B$42:$B$241,$A32,$C$42:$C$241,$B32))</f>
      </c>
      <c r="K32" s="27">
        <f>IF($A32="","",IF(COUNTIFS($B$42:$B$241,$A32,$C$42:$C$241,$B32,$K$42:$K$241,"&gt;0")=0,"",MINIFS($K$42:$K$241,$B$42:$B$241,$A32,$C$42:$C$241,$B32,$K$42:$K$241,"&gt;0")))</f>
      </c>
      <c r="L32" s="25">
        <f>IF($A32="","",SUMIFS($L$42:$L$241,$B$42:$B$241,$A32,$C$42:$C$241,$B32))</f>
      </c>
    </row>
    <row r="33" spans="1:12" x14ac:dyDescent="0.25">
      <c r="A33" s="16"/>
      <c r="B33" s="16"/>
      <c r="C33" s="24">
        <f>IF($A33="","",COUNTIFS($B$42:$B$241,$A33,$C$42:$C$241,$B33))</f>
      </c>
      <c r="D33" s="25">
        <f>IF($A33="","",SUMIFS($D$42:$D$241,$B$42:$B$241,$A33,$C$42:$C$241,$B33))</f>
      </c>
      <c r="E33" s="25">
        <f>IF($A33="","",SUMIFS($E$42:$E$241,$B$42:$B$241,$A33,$C$42:$C$241,$B33))</f>
      </c>
      <c r="F33" s="25">
        <f>IF($A33="","",SUMIFS($F$42:$F$241,$B$42:$B$241,$A33,$C$42:$C$241,$B33))</f>
      </c>
      <c r="G33" s="25">
        <f>IF($A33="","",SUMIFS($G$42:$G$241,$B$42:$B$241,$A33,$C$42:$C$241,$B33))</f>
      </c>
      <c r="H33" s="25">
        <f>IF($A33="","",SUMIFS($H$42:$H$241,$B$42:$B$241,$A33,$C$42:$C$241,$B33))</f>
      </c>
      <c r="I33" s="26">
        <f>IF($A33="","",SUMIFS($I$42:$I$241,$B$42:$B$241,$A33,$C$42:$C$241,$B33))</f>
      </c>
      <c r="J33" s="25">
        <f>IF($A33="","",SUMIFS($J$42:$J$241,$B$42:$B$241,$A33,$C$42:$C$241,$B33))</f>
      </c>
      <c r="K33" s="27">
        <f>IF($A33="","",IF(COUNTIFS($B$42:$B$241,$A33,$C$42:$C$241,$B33,$K$42:$K$241,"&gt;0")=0,"",MINIFS($K$42:$K$241,$B$42:$B$241,$A33,$C$42:$C$241,$B33,$K$42:$K$241,"&gt;0")))</f>
      </c>
      <c r="L33" s="25">
        <f>IF($A33="","",SUMIFS($L$42:$L$241,$B$42:$B$241,$A33,$C$42:$C$241,$B33))</f>
      </c>
    </row>
    <row r="34" spans="1:12" x14ac:dyDescent="0.25">
      <c r="A34" s="16"/>
      <c r="B34" s="16"/>
      <c r="C34" s="24">
        <f>IF($A34="","",COUNTIFS($B$42:$B$241,$A34,$C$42:$C$241,$B34))</f>
      </c>
      <c r="D34" s="25">
        <f>IF($A34="","",SUMIFS($D$42:$D$241,$B$42:$B$241,$A34,$C$42:$C$241,$B34))</f>
      </c>
      <c r="E34" s="25">
        <f>IF($A34="","",SUMIFS($E$42:$E$241,$B$42:$B$241,$A34,$C$42:$C$241,$B34))</f>
      </c>
      <c r="F34" s="25">
        <f>IF($A34="","",SUMIFS($F$42:$F$241,$B$42:$B$241,$A34,$C$42:$C$241,$B34))</f>
      </c>
      <c r="G34" s="25">
        <f>IF($A34="","",SUMIFS($G$42:$G$241,$B$42:$B$241,$A34,$C$42:$C$241,$B34))</f>
      </c>
      <c r="H34" s="25">
        <f>IF($A34="","",SUMIFS($H$42:$H$241,$B$42:$B$241,$A34,$C$42:$C$241,$B34))</f>
      </c>
      <c r="I34" s="26">
        <f>IF($A34="","",SUMIFS($I$42:$I$241,$B$42:$B$241,$A34,$C$42:$C$241,$B34))</f>
      </c>
      <c r="J34" s="25">
        <f>IF($A34="","",SUMIFS($J$42:$J$241,$B$42:$B$241,$A34,$C$42:$C$241,$B34))</f>
      </c>
      <c r="K34" s="27">
        <f>IF($A34="","",IF(COUNTIFS($B$42:$B$241,$A34,$C$42:$C$241,$B34,$K$42:$K$241,"&gt;0")=0,"",MINIFS($K$42:$K$241,$B$42:$B$241,$A34,$C$42:$C$241,$B34,$K$42:$K$241,"&gt;0")))</f>
      </c>
      <c r="L34" s="25">
        <f>IF($A34="","",SUMIFS($L$42:$L$241,$B$42:$B$241,$A34,$C$42:$C$241,$B34))</f>
      </c>
    </row>
    <row r="35" spans="1:12" x14ac:dyDescent="0.25">
      <c r="A35" s="16"/>
      <c r="B35" s="16"/>
      <c r="C35" s="24">
        <f>IF($A35="","",COUNTIFS($B$42:$B$241,$A35,$C$42:$C$241,$B35))</f>
      </c>
      <c r="D35" s="25">
        <f>IF($A35="","",SUMIFS($D$42:$D$241,$B$42:$B$241,$A35,$C$42:$C$241,$B35))</f>
      </c>
      <c r="E35" s="25">
        <f>IF($A35="","",SUMIFS($E$42:$E$241,$B$42:$B$241,$A35,$C$42:$C$241,$B35))</f>
      </c>
      <c r="F35" s="25">
        <f>IF($A35="","",SUMIFS($F$42:$F$241,$B$42:$B$241,$A35,$C$42:$C$241,$B35))</f>
      </c>
      <c r="G35" s="25">
        <f>IF($A35="","",SUMIFS($G$42:$G$241,$B$42:$B$241,$A35,$C$42:$C$241,$B35))</f>
      </c>
      <c r="H35" s="25">
        <f>IF($A35="","",SUMIFS($H$42:$H$241,$B$42:$B$241,$A35,$C$42:$C$241,$B35))</f>
      </c>
      <c r="I35" s="26">
        <f>IF($A35="","",SUMIFS($I$42:$I$241,$B$42:$B$241,$A35,$C$42:$C$241,$B35))</f>
      </c>
      <c r="J35" s="25">
        <f>IF($A35="","",SUMIFS($J$42:$J$241,$B$42:$B$241,$A35,$C$42:$C$241,$B35))</f>
      </c>
      <c r="K35" s="27">
        <f>IF($A35="","",IF(COUNTIFS($B$42:$B$241,$A35,$C$42:$C$241,$B35,$K$42:$K$241,"&gt;0")=0,"",MINIFS($K$42:$K$241,$B$42:$B$241,$A35,$C$42:$C$241,$B35,$K$42:$K$241,"&gt;0")))</f>
      </c>
      <c r="L35" s="25">
        <f>IF($A35="","",SUMIFS($L$42:$L$241,$B$42:$B$241,$A35,$C$42:$C$241,$B35))</f>
      </c>
    </row>
    <row r="36" spans="1:12" x14ac:dyDescent="0.25">
      <c r="A36" s="16"/>
      <c r="B36" s="16"/>
      <c r="C36" s="24">
        <f>IF($A36="","",COUNTIFS($B$42:$B$241,$A36,$C$42:$C$241,$B36))</f>
      </c>
      <c r="D36" s="25">
        <f>IF($A36="","",SUMIFS($D$42:$D$241,$B$42:$B$241,$A36,$C$42:$C$241,$B36))</f>
      </c>
      <c r="E36" s="25">
        <f>IF($A36="","",SUMIFS($E$42:$E$241,$B$42:$B$241,$A36,$C$42:$C$241,$B36))</f>
      </c>
      <c r="F36" s="25">
        <f>IF($A36="","",SUMIFS($F$42:$F$241,$B$42:$B$241,$A36,$C$42:$C$241,$B36))</f>
      </c>
      <c r="G36" s="25">
        <f>IF($A36="","",SUMIFS($G$42:$G$241,$B$42:$B$241,$A36,$C$42:$C$241,$B36))</f>
      </c>
      <c r="H36" s="25">
        <f>IF($A36="","",SUMIFS($H$42:$H$241,$B$42:$B$241,$A36,$C$42:$C$241,$B36))</f>
      </c>
      <c r="I36" s="26">
        <f>IF($A36="","",SUMIFS($I$42:$I$241,$B$42:$B$241,$A36,$C$42:$C$241,$B36))</f>
      </c>
      <c r="J36" s="25">
        <f>IF($A36="","",SUMIFS($J$42:$J$241,$B$42:$B$241,$A36,$C$42:$C$241,$B36))</f>
      </c>
      <c r="K36" s="27">
        <f>IF($A36="","",IF(COUNTIFS($B$42:$B$241,$A36,$C$42:$C$241,$B36,$K$42:$K$241,"&gt;0")=0,"",MINIFS($K$42:$K$241,$B$42:$B$241,$A36,$C$42:$C$241,$B36,$K$42:$K$241,"&gt;0")))</f>
      </c>
      <c r="L36" s="25">
        <f>IF($A36="","",SUMIFS($L$42:$L$241,$B$42:$B$241,$A36,$C$42:$C$241,$B36))</f>
      </c>
    </row>
    <row r="37" spans="1:1" x14ac:dyDescent="0.25">
      <c r="A37" s="28">
        <f>IF(SUM(C17:C36)=COUNTA(Fonds!$A$5:$A$204),"Prüfung: alle "&amp;COUNTA(Fonds!$A$5:$A$204)&amp;" Fonds sind erfasst.","Achtung: "&amp;IF(COUNTA(Fonds!$A$5:$A$204)-SUM(C17:C36)=1,"1 Fonds fehlt",""&amp;(COUNTA(Fonds!$A$5:$A$204)-SUM(C17:C36))&amp;" Fonds fehlen")&amp;" in dieser Tabelle. Gesellschaft und Währung mit dem Blatt „Fonds“ abgleichen.")</f>
      </c>
    </row>
    <row r="39" spans="1:1" x14ac:dyDescent="0.25">
      <c r="A39" s="21" t="s">
        <v>93</v>
      </c>
    </row>
    <row r="40" spans="1:1" x14ac:dyDescent="0.25">
      <c r="A40" s="11" t="s">
        <v>94</v>
      </c>
    </row>
    <row r="41" ht="30" customHeight="1" spans="1:12" x14ac:dyDescent="0.25">
      <c r="A41" s="12" t="s">
        <v>32</v>
      </c>
      <c r="B41" s="12" t="s">
        <v>33</v>
      </c>
      <c r="C41" s="12" t="s">
        <v>35</v>
      </c>
      <c r="D41" s="12" t="s">
        <v>36</v>
      </c>
      <c r="E41" s="12" t="s">
        <v>82</v>
      </c>
      <c r="F41" s="12" t="s">
        <v>83</v>
      </c>
      <c r="G41" s="12" t="s">
        <v>84</v>
      </c>
      <c r="H41" s="12" t="s">
        <v>52</v>
      </c>
      <c r="I41" s="12" t="s">
        <v>85</v>
      </c>
      <c r="J41" s="12" t="s">
        <v>86</v>
      </c>
      <c r="K41" s="12" t="s">
        <v>87</v>
      </c>
      <c r="L41" s="12" t="s">
        <v>88</v>
      </c>
    </row>
    <row r="42" spans="1:12" x14ac:dyDescent="0.25">
      <c r="A42" s="23">
        <f>IF(INDEX(Fonds!$A$1:$A$1000,5)="","",INDEX(Fonds!$A$1:$A$1000,5))</f>
      </c>
      <c r="B42" s="23">
        <f>IF($A42="","",INDEX(Fonds!$B$1:$B$1000,5)&amp;"")</f>
      </c>
      <c r="C42" s="23">
        <f>IF($A42="","",INDEX(Fonds!$D$1:$D$1000,5)&amp;"")</f>
      </c>
      <c r="D42" s="25">
        <f>IF($A42="","",INDEX(Fonds!$E$1:$E$1000,5))</f>
      </c>
      <c r="E42" s="25">
        <f>IF($A42="","",SUMIFS(Cashflows!$D$5:$D$5000,Cashflows!$B$5:$B$5000,$A42,Cashflows!$C$5:$C$5000,"Abruf"))</f>
      </c>
      <c r="F42" s="25">
        <f>IF($A42="","",SUMIFS(Cashflows!$D$5:$D$5000,Cashflows!$B$5:$B$5000,$A42,Cashflows!$C$5:$C$5000,"Gebühr außerhalb der Zusage")+SUMIFS(Cashflows!$D$5:$D$5000,Cashflows!$B$5:$B$5000,$A42,Cashflows!$C$5:$C$5000,"Ausgleichszins"))</f>
      </c>
      <c r="G42" s="25">
        <f>IF($A42="","",SUMIFS(Cashflows!$D$5:$D$5000,Cashflows!$B$5:$B$5000,$A42,Cashflows!$C$5:$C$5000,"Ausschüttung"))</f>
      </c>
      <c r="H42" s="25">
        <f>IF($A42="","",SUMIFS(Cashflows!$E$5:$E$5000,Cashflows!$B$5:$B$5000,$A42,Cashflows!$C$5:$C$5000,"Ausschüttung"))</f>
      </c>
      <c r="I42" s="26">
        <f>IF($A42="","",D42-E42+H42)</f>
      </c>
      <c r="J42" s="25">
        <f>IF($A42="","",SUMIFS(Cashflows!$D$5:$D$5000,Cashflows!$B$5:$B$5000,$A42,Cashflows!$G$5:$G$5000,"Angekündigt",Cashflows!$C$5:$C$5000,"&lt;&gt;Ausschüttung"))</f>
      </c>
      <c r="K42" s="27">
        <f>IF($A42="","",IF(COUNTIFS(Cashflows!$B$5:$B$5000,$A42,Cashflows!$G$5:$G$5000,"Angekündigt",Cashflows!$C$5:$C$5000,"&lt;&gt;Ausschüttung",Cashflows!$F$5:$F$5000,"&gt;0")=0,"",MINIFS(Cashflows!$F$5:$F$5000,Cashflows!$B$5:$B$5000,$A42,Cashflows!$G$5:$G$5000,"Angekündigt",Cashflows!$C$5:$C$5000,"&lt;&gt;Ausschüttung",Cashflows!$F$5:$F$5000,"&gt;0")))</f>
      </c>
      <c r="L42" s="25">
        <f>IF($A42="","",I42+J42)</f>
      </c>
    </row>
    <row r="43" spans="1:12" x14ac:dyDescent="0.25">
      <c r="A43" s="23">
        <f>IF(INDEX(Fonds!$A$1:$A$1000,6)="","",INDEX(Fonds!$A$1:$A$1000,6))</f>
      </c>
      <c r="B43" s="23">
        <f>IF($A43="","",INDEX(Fonds!$B$1:$B$1000,6)&amp;"")</f>
      </c>
      <c r="C43" s="23">
        <f>IF($A43="","",INDEX(Fonds!$D$1:$D$1000,6)&amp;"")</f>
      </c>
      <c r="D43" s="25">
        <f>IF($A43="","",INDEX(Fonds!$E$1:$E$1000,6))</f>
      </c>
      <c r="E43" s="25">
        <f>IF($A43="","",SUMIFS(Cashflows!$D$5:$D$5000,Cashflows!$B$5:$B$5000,$A43,Cashflows!$C$5:$C$5000,"Abruf"))</f>
      </c>
      <c r="F43" s="25">
        <f>IF($A43="","",SUMIFS(Cashflows!$D$5:$D$5000,Cashflows!$B$5:$B$5000,$A43,Cashflows!$C$5:$C$5000,"Gebühr außerhalb der Zusage")+SUMIFS(Cashflows!$D$5:$D$5000,Cashflows!$B$5:$B$5000,$A43,Cashflows!$C$5:$C$5000,"Ausgleichszins"))</f>
      </c>
      <c r="G43" s="25">
        <f>IF($A43="","",SUMIFS(Cashflows!$D$5:$D$5000,Cashflows!$B$5:$B$5000,$A43,Cashflows!$C$5:$C$5000,"Ausschüttung"))</f>
      </c>
      <c r="H43" s="25">
        <f>IF($A43="","",SUMIFS(Cashflows!$E$5:$E$5000,Cashflows!$B$5:$B$5000,$A43,Cashflows!$C$5:$C$5000,"Ausschüttung"))</f>
      </c>
      <c r="I43" s="26">
        <f>IF($A43="","",D43-E43+H43)</f>
      </c>
      <c r="J43" s="25">
        <f>IF($A43="","",SUMIFS(Cashflows!$D$5:$D$5000,Cashflows!$B$5:$B$5000,$A43,Cashflows!$G$5:$G$5000,"Angekündigt",Cashflows!$C$5:$C$5000,"&lt;&gt;Ausschüttung"))</f>
      </c>
      <c r="K43" s="27">
        <f>IF($A43="","",IF(COUNTIFS(Cashflows!$B$5:$B$5000,$A43,Cashflows!$G$5:$G$5000,"Angekündigt",Cashflows!$C$5:$C$5000,"&lt;&gt;Ausschüttung",Cashflows!$F$5:$F$5000,"&gt;0")=0,"",MINIFS(Cashflows!$F$5:$F$5000,Cashflows!$B$5:$B$5000,$A43,Cashflows!$G$5:$G$5000,"Angekündigt",Cashflows!$C$5:$C$5000,"&lt;&gt;Ausschüttung",Cashflows!$F$5:$F$5000,"&gt;0")))</f>
      </c>
      <c r="L43" s="25">
        <f>IF($A43="","",I43+J43)</f>
      </c>
    </row>
    <row r="44" spans="1:12" x14ac:dyDescent="0.25">
      <c r="A44" s="23">
        <f>IF(INDEX(Fonds!$A$1:$A$1000,7)="","",INDEX(Fonds!$A$1:$A$1000,7))</f>
      </c>
      <c r="B44" s="23">
        <f>IF($A44="","",INDEX(Fonds!$B$1:$B$1000,7)&amp;"")</f>
      </c>
      <c r="C44" s="23">
        <f>IF($A44="","",INDEX(Fonds!$D$1:$D$1000,7)&amp;"")</f>
      </c>
      <c r="D44" s="25">
        <f>IF($A44="","",INDEX(Fonds!$E$1:$E$1000,7))</f>
      </c>
      <c r="E44" s="25">
        <f>IF($A44="","",SUMIFS(Cashflows!$D$5:$D$5000,Cashflows!$B$5:$B$5000,$A44,Cashflows!$C$5:$C$5000,"Abruf"))</f>
      </c>
      <c r="F44" s="25">
        <f>IF($A44="","",SUMIFS(Cashflows!$D$5:$D$5000,Cashflows!$B$5:$B$5000,$A44,Cashflows!$C$5:$C$5000,"Gebühr außerhalb der Zusage")+SUMIFS(Cashflows!$D$5:$D$5000,Cashflows!$B$5:$B$5000,$A44,Cashflows!$C$5:$C$5000,"Ausgleichszins"))</f>
      </c>
      <c r="G44" s="25">
        <f>IF($A44="","",SUMIFS(Cashflows!$D$5:$D$5000,Cashflows!$B$5:$B$5000,$A44,Cashflows!$C$5:$C$5000,"Ausschüttung"))</f>
      </c>
      <c r="H44" s="25">
        <f>IF($A44="","",SUMIFS(Cashflows!$E$5:$E$5000,Cashflows!$B$5:$B$5000,$A44,Cashflows!$C$5:$C$5000,"Ausschüttung"))</f>
      </c>
      <c r="I44" s="26">
        <f>IF($A44="","",D44-E44+H44)</f>
      </c>
      <c r="J44" s="25">
        <f>IF($A44="","",SUMIFS(Cashflows!$D$5:$D$5000,Cashflows!$B$5:$B$5000,$A44,Cashflows!$G$5:$G$5000,"Angekündigt",Cashflows!$C$5:$C$5000,"&lt;&gt;Ausschüttung"))</f>
      </c>
      <c r="K44" s="27">
        <f>IF($A44="","",IF(COUNTIFS(Cashflows!$B$5:$B$5000,$A44,Cashflows!$G$5:$G$5000,"Angekündigt",Cashflows!$C$5:$C$5000,"&lt;&gt;Ausschüttung",Cashflows!$F$5:$F$5000,"&gt;0")=0,"",MINIFS(Cashflows!$F$5:$F$5000,Cashflows!$B$5:$B$5000,$A44,Cashflows!$G$5:$G$5000,"Angekündigt",Cashflows!$C$5:$C$5000,"&lt;&gt;Ausschüttung",Cashflows!$F$5:$F$5000,"&gt;0")))</f>
      </c>
      <c r="L44" s="25">
        <f>IF($A44="","",I44+J44)</f>
      </c>
    </row>
    <row r="45" spans="1:12" x14ac:dyDescent="0.25">
      <c r="A45" s="23">
        <f>IF(INDEX(Fonds!$A$1:$A$1000,8)="","",INDEX(Fonds!$A$1:$A$1000,8))</f>
      </c>
      <c r="B45" s="23">
        <f>IF($A45="","",INDEX(Fonds!$B$1:$B$1000,8)&amp;"")</f>
      </c>
      <c r="C45" s="23">
        <f>IF($A45="","",INDEX(Fonds!$D$1:$D$1000,8)&amp;"")</f>
      </c>
      <c r="D45" s="25">
        <f>IF($A45="","",INDEX(Fonds!$E$1:$E$1000,8))</f>
      </c>
      <c r="E45" s="25">
        <f>IF($A45="","",SUMIFS(Cashflows!$D$5:$D$5000,Cashflows!$B$5:$B$5000,$A45,Cashflows!$C$5:$C$5000,"Abruf"))</f>
      </c>
      <c r="F45" s="25">
        <f>IF($A45="","",SUMIFS(Cashflows!$D$5:$D$5000,Cashflows!$B$5:$B$5000,$A45,Cashflows!$C$5:$C$5000,"Gebühr außerhalb der Zusage")+SUMIFS(Cashflows!$D$5:$D$5000,Cashflows!$B$5:$B$5000,$A45,Cashflows!$C$5:$C$5000,"Ausgleichszins"))</f>
      </c>
      <c r="G45" s="25">
        <f>IF($A45="","",SUMIFS(Cashflows!$D$5:$D$5000,Cashflows!$B$5:$B$5000,$A45,Cashflows!$C$5:$C$5000,"Ausschüttung"))</f>
      </c>
      <c r="H45" s="25">
        <f>IF($A45="","",SUMIFS(Cashflows!$E$5:$E$5000,Cashflows!$B$5:$B$5000,$A45,Cashflows!$C$5:$C$5000,"Ausschüttung"))</f>
      </c>
      <c r="I45" s="26">
        <f>IF($A45="","",D45-E45+H45)</f>
      </c>
      <c r="J45" s="25">
        <f>IF($A45="","",SUMIFS(Cashflows!$D$5:$D$5000,Cashflows!$B$5:$B$5000,$A45,Cashflows!$G$5:$G$5000,"Angekündigt",Cashflows!$C$5:$C$5000,"&lt;&gt;Ausschüttung"))</f>
      </c>
      <c r="K45" s="27">
        <f>IF($A45="","",IF(COUNTIFS(Cashflows!$B$5:$B$5000,$A45,Cashflows!$G$5:$G$5000,"Angekündigt",Cashflows!$C$5:$C$5000,"&lt;&gt;Ausschüttung",Cashflows!$F$5:$F$5000,"&gt;0")=0,"",MINIFS(Cashflows!$F$5:$F$5000,Cashflows!$B$5:$B$5000,$A45,Cashflows!$G$5:$G$5000,"Angekündigt",Cashflows!$C$5:$C$5000,"&lt;&gt;Ausschüttung",Cashflows!$F$5:$F$5000,"&gt;0")))</f>
      </c>
      <c r="L45" s="25">
        <f>IF($A45="","",I45+J45)</f>
      </c>
    </row>
    <row r="46" spans="1:12" x14ac:dyDescent="0.25">
      <c r="A46" s="23">
        <f>IF(INDEX(Fonds!$A$1:$A$1000,9)="","",INDEX(Fonds!$A$1:$A$1000,9))</f>
      </c>
      <c r="B46" s="23">
        <f>IF($A46="","",INDEX(Fonds!$B$1:$B$1000,9)&amp;"")</f>
      </c>
      <c r="C46" s="23">
        <f>IF($A46="","",INDEX(Fonds!$D$1:$D$1000,9)&amp;"")</f>
      </c>
      <c r="D46" s="25">
        <f>IF($A46="","",INDEX(Fonds!$E$1:$E$1000,9))</f>
      </c>
      <c r="E46" s="25">
        <f>IF($A46="","",SUMIFS(Cashflows!$D$5:$D$5000,Cashflows!$B$5:$B$5000,$A46,Cashflows!$C$5:$C$5000,"Abruf"))</f>
      </c>
      <c r="F46" s="25">
        <f>IF($A46="","",SUMIFS(Cashflows!$D$5:$D$5000,Cashflows!$B$5:$B$5000,$A46,Cashflows!$C$5:$C$5000,"Gebühr außerhalb der Zusage")+SUMIFS(Cashflows!$D$5:$D$5000,Cashflows!$B$5:$B$5000,$A46,Cashflows!$C$5:$C$5000,"Ausgleichszins"))</f>
      </c>
      <c r="G46" s="25">
        <f>IF($A46="","",SUMIFS(Cashflows!$D$5:$D$5000,Cashflows!$B$5:$B$5000,$A46,Cashflows!$C$5:$C$5000,"Ausschüttung"))</f>
      </c>
      <c r="H46" s="25">
        <f>IF($A46="","",SUMIFS(Cashflows!$E$5:$E$5000,Cashflows!$B$5:$B$5000,$A46,Cashflows!$C$5:$C$5000,"Ausschüttung"))</f>
      </c>
      <c r="I46" s="26">
        <f>IF($A46="","",D46-E46+H46)</f>
      </c>
      <c r="J46" s="25">
        <f>IF($A46="","",SUMIFS(Cashflows!$D$5:$D$5000,Cashflows!$B$5:$B$5000,$A46,Cashflows!$G$5:$G$5000,"Angekündigt",Cashflows!$C$5:$C$5000,"&lt;&gt;Ausschüttung"))</f>
      </c>
      <c r="K46" s="27">
        <f>IF($A46="","",IF(COUNTIFS(Cashflows!$B$5:$B$5000,$A46,Cashflows!$G$5:$G$5000,"Angekündigt",Cashflows!$C$5:$C$5000,"&lt;&gt;Ausschüttung",Cashflows!$F$5:$F$5000,"&gt;0")=0,"",MINIFS(Cashflows!$F$5:$F$5000,Cashflows!$B$5:$B$5000,$A46,Cashflows!$G$5:$G$5000,"Angekündigt",Cashflows!$C$5:$C$5000,"&lt;&gt;Ausschüttung",Cashflows!$F$5:$F$5000,"&gt;0")))</f>
      </c>
      <c r="L46" s="25">
        <f>IF($A46="","",I46+J46)</f>
      </c>
    </row>
    <row r="47" spans="1:12" x14ac:dyDescent="0.25">
      <c r="A47" s="23">
        <f>IF(INDEX(Fonds!$A$1:$A$1000,10)="","",INDEX(Fonds!$A$1:$A$1000,10))</f>
      </c>
      <c r="B47" s="23">
        <f>IF($A47="","",INDEX(Fonds!$B$1:$B$1000,10)&amp;"")</f>
      </c>
      <c r="C47" s="23">
        <f>IF($A47="","",INDEX(Fonds!$D$1:$D$1000,10)&amp;"")</f>
      </c>
      <c r="D47" s="25">
        <f>IF($A47="","",INDEX(Fonds!$E$1:$E$1000,10))</f>
      </c>
      <c r="E47" s="25">
        <f>IF($A47="","",SUMIFS(Cashflows!$D$5:$D$5000,Cashflows!$B$5:$B$5000,$A47,Cashflows!$C$5:$C$5000,"Abruf"))</f>
      </c>
      <c r="F47" s="25">
        <f>IF($A47="","",SUMIFS(Cashflows!$D$5:$D$5000,Cashflows!$B$5:$B$5000,$A47,Cashflows!$C$5:$C$5000,"Gebühr außerhalb der Zusage")+SUMIFS(Cashflows!$D$5:$D$5000,Cashflows!$B$5:$B$5000,$A47,Cashflows!$C$5:$C$5000,"Ausgleichszins"))</f>
      </c>
      <c r="G47" s="25">
        <f>IF($A47="","",SUMIFS(Cashflows!$D$5:$D$5000,Cashflows!$B$5:$B$5000,$A47,Cashflows!$C$5:$C$5000,"Ausschüttung"))</f>
      </c>
      <c r="H47" s="25">
        <f>IF($A47="","",SUMIFS(Cashflows!$E$5:$E$5000,Cashflows!$B$5:$B$5000,$A47,Cashflows!$C$5:$C$5000,"Ausschüttung"))</f>
      </c>
      <c r="I47" s="26">
        <f>IF($A47="","",D47-E47+H47)</f>
      </c>
      <c r="J47" s="25">
        <f>IF($A47="","",SUMIFS(Cashflows!$D$5:$D$5000,Cashflows!$B$5:$B$5000,$A47,Cashflows!$G$5:$G$5000,"Angekündigt",Cashflows!$C$5:$C$5000,"&lt;&gt;Ausschüttung"))</f>
      </c>
      <c r="K47" s="27">
        <f>IF($A47="","",IF(COUNTIFS(Cashflows!$B$5:$B$5000,$A47,Cashflows!$G$5:$G$5000,"Angekündigt",Cashflows!$C$5:$C$5000,"&lt;&gt;Ausschüttung",Cashflows!$F$5:$F$5000,"&gt;0")=0,"",MINIFS(Cashflows!$F$5:$F$5000,Cashflows!$B$5:$B$5000,$A47,Cashflows!$G$5:$G$5000,"Angekündigt",Cashflows!$C$5:$C$5000,"&lt;&gt;Ausschüttung",Cashflows!$F$5:$F$5000,"&gt;0")))</f>
      </c>
      <c r="L47" s="25">
        <f>IF($A47="","",I47+J47)</f>
      </c>
    </row>
    <row r="48" spans="1:12" x14ac:dyDescent="0.25">
      <c r="A48" s="23">
        <f>IF(INDEX(Fonds!$A$1:$A$1000,11)="","",INDEX(Fonds!$A$1:$A$1000,11))</f>
      </c>
      <c r="B48" s="23">
        <f>IF($A48="","",INDEX(Fonds!$B$1:$B$1000,11)&amp;"")</f>
      </c>
      <c r="C48" s="23">
        <f>IF($A48="","",INDEX(Fonds!$D$1:$D$1000,11)&amp;"")</f>
      </c>
      <c r="D48" s="25">
        <f>IF($A48="","",INDEX(Fonds!$E$1:$E$1000,11))</f>
      </c>
      <c r="E48" s="25">
        <f>IF($A48="","",SUMIFS(Cashflows!$D$5:$D$5000,Cashflows!$B$5:$B$5000,$A48,Cashflows!$C$5:$C$5000,"Abruf"))</f>
      </c>
      <c r="F48" s="25">
        <f>IF($A48="","",SUMIFS(Cashflows!$D$5:$D$5000,Cashflows!$B$5:$B$5000,$A48,Cashflows!$C$5:$C$5000,"Gebühr außerhalb der Zusage")+SUMIFS(Cashflows!$D$5:$D$5000,Cashflows!$B$5:$B$5000,$A48,Cashflows!$C$5:$C$5000,"Ausgleichszins"))</f>
      </c>
      <c r="G48" s="25">
        <f>IF($A48="","",SUMIFS(Cashflows!$D$5:$D$5000,Cashflows!$B$5:$B$5000,$A48,Cashflows!$C$5:$C$5000,"Ausschüttung"))</f>
      </c>
      <c r="H48" s="25">
        <f>IF($A48="","",SUMIFS(Cashflows!$E$5:$E$5000,Cashflows!$B$5:$B$5000,$A48,Cashflows!$C$5:$C$5000,"Ausschüttung"))</f>
      </c>
      <c r="I48" s="26">
        <f>IF($A48="","",D48-E48+H48)</f>
      </c>
      <c r="J48" s="25">
        <f>IF($A48="","",SUMIFS(Cashflows!$D$5:$D$5000,Cashflows!$B$5:$B$5000,$A48,Cashflows!$G$5:$G$5000,"Angekündigt",Cashflows!$C$5:$C$5000,"&lt;&gt;Ausschüttung"))</f>
      </c>
      <c r="K48" s="27">
        <f>IF($A48="","",IF(COUNTIFS(Cashflows!$B$5:$B$5000,$A48,Cashflows!$G$5:$G$5000,"Angekündigt",Cashflows!$C$5:$C$5000,"&lt;&gt;Ausschüttung",Cashflows!$F$5:$F$5000,"&gt;0")=0,"",MINIFS(Cashflows!$F$5:$F$5000,Cashflows!$B$5:$B$5000,$A48,Cashflows!$G$5:$G$5000,"Angekündigt",Cashflows!$C$5:$C$5000,"&lt;&gt;Ausschüttung",Cashflows!$F$5:$F$5000,"&gt;0")))</f>
      </c>
      <c r="L48" s="25">
        <f>IF($A48="","",I48+J48)</f>
      </c>
    </row>
    <row r="49" spans="1:12" x14ac:dyDescent="0.25">
      <c r="A49" s="23">
        <f>IF(INDEX(Fonds!$A$1:$A$1000,12)="","",INDEX(Fonds!$A$1:$A$1000,12))</f>
      </c>
      <c r="B49" s="23">
        <f>IF($A49="","",INDEX(Fonds!$B$1:$B$1000,12)&amp;"")</f>
      </c>
      <c r="C49" s="23">
        <f>IF($A49="","",INDEX(Fonds!$D$1:$D$1000,12)&amp;"")</f>
      </c>
      <c r="D49" s="25">
        <f>IF($A49="","",INDEX(Fonds!$E$1:$E$1000,12))</f>
      </c>
      <c r="E49" s="25">
        <f>IF($A49="","",SUMIFS(Cashflows!$D$5:$D$5000,Cashflows!$B$5:$B$5000,$A49,Cashflows!$C$5:$C$5000,"Abruf"))</f>
      </c>
      <c r="F49" s="25">
        <f>IF($A49="","",SUMIFS(Cashflows!$D$5:$D$5000,Cashflows!$B$5:$B$5000,$A49,Cashflows!$C$5:$C$5000,"Gebühr außerhalb der Zusage")+SUMIFS(Cashflows!$D$5:$D$5000,Cashflows!$B$5:$B$5000,$A49,Cashflows!$C$5:$C$5000,"Ausgleichszins"))</f>
      </c>
      <c r="G49" s="25">
        <f>IF($A49="","",SUMIFS(Cashflows!$D$5:$D$5000,Cashflows!$B$5:$B$5000,$A49,Cashflows!$C$5:$C$5000,"Ausschüttung"))</f>
      </c>
      <c r="H49" s="25">
        <f>IF($A49="","",SUMIFS(Cashflows!$E$5:$E$5000,Cashflows!$B$5:$B$5000,$A49,Cashflows!$C$5:$C$5000,"Ausschüttung"))</f>
      </c>
      <c r="I49" s="26">
        <f>IF($A49="","",D49-E49+H49)</f>
      </c>
      <c r="J49" s="25">
        <f>IF($A49="","",SUMIFS(Cashflows!$D$5:$D$5000,Cashflows!$B$5:$B$5000,$A49,Cashflows!$G$5:$G$5000,"Angekündigt",Cashflows!$C$5:$C$5000,"&lt;&gt;Ausschüttung"))</f>
      </c>
      <c r="K49" s="27">
        <f>IF($A49="","",IF(COUNTIFS(Cashflows!$B$5:$B$5000,$A49,Cashflows!$G$5:$G$5000,"Angekündigt",Cashflows!$C$5:$C$5000,"&lt;&gt;Ausschüttung",Cashflows!$F$5:$F$5000,"&gt;0")=0,"",MINIFS(Cashflows!$F$5:$F$5000,Cashflows!$B$5:$B$5000,$A49,Cashflows!$G$5:$G$5000,"Angekündigt",Cashflows!$C$5:$C$5000,"&lt;&gt;Ausschüttung",Cashflows!$F$5:$F$5000,"&gt;0")))</f>
      </c>
      <c r="L49" s="25">
        <f>IF($A49="","",I49+J49)</f>
      </c>
    </row>
    <row r="50" spans="1:12" x14ac:dyDescent="0.25">
      <c r="A50" s="23">
        <f>IF(INDEX(Fonds!$A$1:$A$1000,13)="","",INDEX(Fonds!$A$1:$A$1000,13))</f>
      </c>
      <c r="B50" s="23">
        <f>IF($A50="","",INDEX(Fonds!$B$1:$B$1000,13)&amp;"")</f>
      </c>
      <c r="C50" s="23">
        <f>IF($A50="","",INDEX(Fonds!$D$1:$D$1000,13)&amp;"")</f>
      </c>
      <c r="D50" s="25">
        <f>IF($A50="","",INDEX(Fonds!$E$1:$E$1000,13))</f>
      </c>
      <c r="E50" s="25">
        <f>IF($A50="","",SUMIFS(Cashflows!$D$5:$D$5000,Cashflows!$B$5:$B$5000,$A50,Cashflows!$C$5:$C$5000,"Abruf"))</f>
      </c>
      <c r="F50" s="25">
        <f>IF($A50="","",SUMIFS(Cashflows!$D$5:$D$5000,Cashflows!$B$5:$B$5000,$A50,Cashflows!$C$5:$C$5000,"Gebühr außerhalb der Zusage")+SUMIFS(Cashflows!$D$5:$D$5000,Cashflows!$B$5:$B$5000,$A50,Cashflows!$C$5:$C$5000,"Ausgleichszins"))</f>
      </c>
      <c r="G50" s="25">
        <f>IF($A50="","",SUMIFS(Cashflows!$D$5:$D$5000,Cashflows!$B$5:$B$5000,$A50,Cashflows!$C$5:$C$5000,"Ausschüttung"))</f>
      </c>
      <c r="H50" s="25">
        <f>IF($A50="","",SUMIFS(Cashflows!$E$5:$E$5000,Cashflows!$B$5:$B$5000,$A50,Cashflows!$C$5:$C$5000,"Ausschüttung"))</f>
      </c>
      <c r="I50" s="26">
        <f>IF($A50="","",D50-E50+H50)</f>
      </c>
      <c r="J50" s="25">
        <f>IF($A50="","",SUMIFS(Cashflows!$D$5:$D$5000,Cashflows!$B$5:$B$5000,$A50,Cashflows!$G$5:$G$5000,"Angekündigt",Cashflows!$C$5:$C$5000,"&lt;&gt;Ausschüttung"))</f>
      </c>
      <c r="K50" s="27">
        <f>IF($A50="","",IF(COUNTIFS(Cashflows!$B$5:$B$5000,$A50,Cashflows!$G$5:$G$5000,"Angekündigt",Cashflows!$C$5:$C$5000,"&lt;&gt;Ausschüttung",Cashflows!$F$5:$F$5000,"&gt;0")=0,"",MINIFS(Cashflows!$F$5:$F$5000,Cashflows!$B$5:$B$5000,$A50,Cashflows!$G$5:$G$5000,"Angekündigt",Cashflows!$C$5:$C$5000,"&lt;&gt;Ausschüttung",Cashflows!$F$5:$F$5000,"&gt;0")))</f>
      </c>
      <c r="L50" s="25">
        <f>IF($A50="","",I50+J50)</f>
      </c>
    </row>
    <row r="51" spans="1:12" x14ac:dyDescent="0.25">
      <c r="A51" s="23">
        <f>IF(INDEX(Fonds!$A$1:$A$1000,14)="","",INDEX(Fonds!$A$1:$A$1000,14))</f>
      </c>
      <c r="B51" s="23">
        <f>IF($A51="","",INDEX(Fonds!$B$1:$B$1000,14)&amp;"")</f>
      </c>
      <c r="C51" s="23">
        <f>IF($A51="","",INDEX(Fonds!$D$1:$D$1000,14)&amp;"")</f>
      </c>
      <c r="D51" s="25">
        <f>IF($A51="","",INDEX(Fonds!$E$1:$E$1000,14))</f>
      </c>
      <c r="E51" s="25">
        <f>IF($A51="","",SUMIFS(Cashflows!$D$5:$D$5000,Cashflows!$B$5:$B$5000,$A51,Cashflows!$C$5:$C$5000,"Abruf"))</f>
      </c>
      <c r="F51" s="25">
        <f>IF($A51="","",SUMIFS(Cashflows!$D$5:$D$5000,Cashflows!$B$5:$B$5000,$A51,Cashflows!$C$5:$C$5000,"Gebühr außerhalb der Zusage")+SUMIFS(Cashflows!$D$5:$D$5000,Cashflows!$B$5:$B$5000,$A51,Cashflows!$C$5:$C$5000,"Ausgleichszins"))</f>
      </c>
      <c r="G51" s="25">
        <f>IF($A51="","",SUMIFS(Cashflows!$D$5:$D$5000,Cashflows!$B$5:$B$5000,$A51,Cashflows!$C$5:$C$5000,"Ausschüttung"))</f>
      </c>
      <c r="H51" s="25">
        <f>IF($A51="","",SUMIFS(Cashflows!$E$5:$E$5000,Cashflows!$B$5:$B$5000,$A51,Cashflows!$C$5:$C$5000,"Ausschüttung"))</f>
      </c>
      <c r="I51" s="26">
        <f>IF($A51="","",D51-E51+H51)</f>
      </c>
      <c r="J51" s="25">
        <f>IF($A51="","",SUMIFS(Cashflows!$D$5:$D$5000,Cashflows!$B$5:$B$5000,$A51,Cashflows!$G$5:$G$5000,"Angekündigt",Cashflows!$C$5:$C$5000,"&lt;&gt;Ausschüttung"))</f>
      </c>
      <c r="K51" s="27">
        <f>IF($A51="","",IF(COUNTIFS(Cashflows!$B$5:$B$5000,$A51,Cashflows!$G$5:$G$5000,"Angekündigt",Cashflows!$C$5:$C$5000,"&lt;&gt;Ausschüttung",Cashflows!$F$5:$F$5000,"&gt;0")=0,"",MINIFS(Cashflows!$F$5:$F$5000,Cashflows!$B$5:$B$5000,$A51,Cashflows!$G$5:$G$5000,"Angekündigt",Cashflows!$C$5:$C$5000,"&lt;&gt;Ausschüttung",Cashflows!$F$5:$F$5000,"&gt;0")))</f>
      </c>
      <c r="L51" s="25">
        <f>IF($A51="","",I51+J51)</f>
      </c>
    </row>
    <row r="52" spans="1:12" x14ac:dyDescent="0.25">
      <c r="A52" s="23">
        <f>IF(INDEX(Fonds!$A$1:$A$1000,15)="","",INDEX(Fonds!$A$1:$A$1000,15))</f>
      </c>
      <c r="B52" s="23">
        <f>IF($A52="","",INDEX(Fonds!$B$1:$B$1000,15)&amp;"")</f>
      </c>
      <c r="C52" s="23">
        <f>IF($A52="","",INDEX(Fonds!$D$1:$D$1000,15)&amp;"")</f>
      </c>
      <c r="D52" s="25">
        <f>IF($A52="","",INDEX(Fonds!$E$1:$E$1000,15))</f>
      </c>
      <c r="E52" s="25">
        <f>IF($A52="","",SUMIFS(Cashflows!$D$5:$D$5000,Cashflows!$B$5:$B$5000,$A52,Cashflows!$C$5:$C$5000,"Abruf"))</f>
      </c>
      <c r="F52" s="25">
        <f>IF($A52="","",SUMIFS(Cashflows!$D$5:$D$5000,Cashflows!$B$5:$B$5000,$A52,Cashflows!$C$5:$C$5000,"Gebühr außerhalb der Zusage")+SUMIFS(Cashflows!$D$5:$D$5000,Cashflows!$B$5:$B$5000,$A52,Cashflows!$C$5:$C$5000,"Ausgleichszins"))</f>
      </c>
      <c r="G52" s="25">
        <f>IF($A52="","",SUMIFS(Cashflows!$D$5:$D$5000,Cashflows!$B$5:$B$5000,$A52,Cashflows!$C$5:$C$5000,"Ausschüttung"))</f>
      </c>
      <c r="H52" s="25">
        <f>IF($A52="","",SUMIFS(Cashflows!$E$5:$E$5000,Cashflows!$B$5:$B$5000,$A52,Cashflows!$C$5:$C$5000,"Ausschüttung"))</f>
      </c>
      <c r="I52" s="26">
        <f>IF($A52="","",D52-E52+H52)</f>
      </c>
      <c r="J52" s="25">
        <f>IF($A52="","",SUMIFS(Cashflows!$D$5:$D$5000,Cashflows!$B$5:$B$5000,$A52,Cashflows!$G$5:$G$5000,"Angekündigt",Cashflows!$C$5:$C$5000,"&lt;&gt;Ausschüttung"))</f>
      </c>
      <c r="K52" s="27">
        <f>IF($A52="","",IF(COUNTIFS(Cashflows!$B$5:$B$5000,$A52,Cashflows!$G$5:$G$5000,"Angekündigt",Cashflows!$C$5:$C$5000,"&lt;&gt;Ausschüttung",Cashflows!$F$5:$F$5000,"&gt;0")=0,"",MINIFS(Cashflows!$F$5:$F$5000,Cashflows!$B$5:$B$5000,$A52,Cashflows!$G$5:$G$5000,"Angekündigt",Cashflows!$C$5:$C$5000,"&lt;&gt;Ausschüttung",Cashflows!$F$5:$F$5000,"&gt;0")))</f>
      </c>
      <c r="L52" s="25">
        <f>IF($A52="","",I52+J52)</f>
      </c>
    </row>
    <row r="53" spans="1:12" x14ac:dyDescent="0.25">
      <c r="A53" s="23">
        <f>IF(INDEX(Fonds!$A$1:$A$1000,16)="","",INDEX(Fonds!$A$1:$A$1000,16))</f>
      </c>
      <c r="B53" s="23">
        <f>IF($A53="","",INDEX(Fonds!$B$1:$B$1000,16)&amp;"")</f>
      </c>
      <c r="C53" s="23">
        <f>IF($A53="","",INDEX(Fonds!$D$1:$D$1000,16)&amp;"")</f>
      </c>
      <c r="D53" s="25">
        <f>IF($A53="","",INDEX(Fonds!$E$1:$E$1000,16))</f>
      </c>
      <c r="E53" s="25">
        <f>IF($A53="","",SUMIFS(Cashflows!$D$5:$D$5000,Cashflows!$B$5:$B$5000,$A53,Cashflows!$C$5:$C$5000,"Abruf"))</f>
      </c>
      <c r="F53" s="25">
        <f>IF($A53="","",SUMIFS(Cashflows!$D$5:$D$5000,Cashflows!$B$5:$B$5000,$A53,Cashflows!$C$5:$C$5000,"Gebühr außerhalb der Zusage")+SUMIFS(Cashflows!$D$5:$D$5000,Cashflows!$B$5:$B$5000,$A53,Cashflows!$C$5:$C$5000,"Ausgleichszins"))</f>
      </c>
      <c r="G53" s="25">
        <f>IF($A53="","",SUMIFS(Cashflows!$D$5:$D$5000,Cashflows!$B$5:$B$5000,$A53,Cashflows!$C$5:$C$5000,"Ausschüttung"))</f>
      </c>
      <c r="H53" s="25">
        <f>IF($A53="","",SUMIFS(Cashflows!$E$5:$E$5000,Cashflows!$B$5:$B$5000,$A53,Cashflows!$C$5:$C$5000,"Ausschüttung"))</f>
      </c>
      <c r="I53" s="26">
        <f>IF($A53="","",D53-E53+H53)</f>
      </c>
      <c r="J53" s="25">
        <f>IF($A53="","",SUMIFS(Cashflows!$D$5:$D$5000,Cashflows!$B$5:$B$5000,$A53,Cashflows!$G$5:$G$5000,"Angekündigt",Cashflows!$C$5:$C$5000,"&lt;&gt;Ausschüttung"))</f>
      </c>
      <c r="K53" s="27">
        <f>IF($A53="","",IF(COUNTIFS(Cashflows!$B$5:$B$5000,$A53,Cashflows!$G$5:$G$5000,"Angekündigt",Cashflows!$C$5:$C$5000,"&lt;&gt;Ausschüttung",Cashflows!$F$5:$F$5000,"&gt;0")=0,"",MINIFS(Cashflows!$F$5:$F$5000,Cashflows!$B$5:$B$5000,$A53,Cashflows!$G$5:$G$5000,"Angekündigt",Cashflows!$C$5:$C$5000,"&lt;&gt;Ausschüttung",Cashflows!$F$5:$F$5000,"&gt;0")))</f>
      </c>
      <c r="L53" s="25">
        <f>IF($A53="","",I53+J53)</f>
      </c>
    </row>
    <row r="54" spans="1:12" x14ac:dyDescent="0.25">
      <c r="A54" s="23">
        <f>IF(INDEX(Fonds!$A$1:$A$1000,17)="","",INDEX(Fonds!$A$1:$A$1000,17))</f>
      </c>
      <c r="B54" s="23">
        <f>IF($A54="","",INDEX(Fonds!$B$1:$B$1000,17)&amp;"")</f>
      </c>
      <c r="C54" s="23">
        <f>IF($A54="","",INDEX(Fonds!$D$1:$D$1000,17)&amp;"")</f>
      </c>
      <c r="D54" s="25">
        <f>IF($A54="","",INDEX(Fonds!$E$1:$E$1000,17))</f>
      </c>
      <c r="E54" s="25">
        <f>IF($A54="","",SUMIFS(Cashflows!$D$5:$D$5000,Cashflows!$B$5:$B$5000,$A54,Cashflows!$C$5:$C$5000,"Abruf"))</f>
      </c>
      <c r="F54" s="25">
        <f>IF($A54="","",SUMIFS(Cashflows!$D$5:$D$5000,Cashflows!$B$5:$B$5000,$A54,Cashflows!$C$5:$C$5000,"Gebühr außerhalb der Zusage")+SUMIFS(Cashflows!$D$5:$D$5000,Cashflows!$B$5:$B$5000,$A54,Cashflows!$C$5:$C$5000,"Ausgleichszins"))</f>
      </c>
      <c r="G54" s="25">
        <f>IF($A54="","",SUMIFS(Cashflows!$D$5:$D$5000,Cashflows!$B$5:$B$5000,$A54,Cashflows!$C$5:$C$5000,"Ausschüttung"))</f>
      </c>
      <c r="H54" s="25">
        <f>IF($A54="","",SUMIFS(Cashflows!$E$5:$E$5000,Cashflows!$B$5:$B$5000,$A54,Cashflows!$C$5:$C$5000,"Ausschüttung"))</f>
      </c>
      <c r="I54" s="26">
        <f>IF($A54="","",D54-E54+H54)</f>
      </c>
      <c r="J54" s="25">
        <f>IF($A54="","",SUMIFS(Cashflows!$D$5:$D$5000,Cashflows!$B$5:$B$5000,$A54,Cashflows!$G$5:$G$5000,"Angekündigt",Cashflows!$C$5:$C$5000,"&lt;&gt;Ausschüttung"))</f>
      </c>
      <c r="K54" s="27">
        <f>IF($A54="","",IF(COUNTIFS(Cashflows!$B$5:$B$5000,$A54,Cashflows!$G$5:$G$5000,"Angekündigt",Cashflows!$C$5:$C$5000,"&lt;&gt;Ausschüttung",Cashflows!$F$5:$F$5000,"&gt;0")=0,"",MINIFS(Cashflows!$F$5:$F$5000,Cashflows!$B$5:$B$5000,$A54,Cashflows!$G$5:$G$5000,"Angekündigt",Cashflows!$C$5:$C$5000,"&lt;&gt;Ausschüttung",Cashflows!$F$5:$F$5000,"&gt;0")))</f>
      </c>
      <c r="L54" s="25">
        <f>IF($A54="","",I54+J54)</f>
      </c>
    </row>
    <row r="55" spans="1:12" x14ac:dyDescent="0.25">
      <c r="A55" s="23">
        <f>IF(INDEX(Fonds!$A$1:$A$1000,18)="","",INDEX(Fonds!$A$1:$A$1000,18))</f>
      </c>
      <c r="B55" s="23">
        <f>IF($A55="","",INDEX(Fonds!$B$1:$B$1000,18)&amp;"")</f>
      </c>
      <c r="C55" s="23">
        <f>IF($A55="","",INDEX(Fonds!$D$1:$D$1000,18)&amp;"")</f>
      </c>
      <c r="D55" s="25">
        <f>IF($A55="","",INDEX(Fonds!$E$1:$E$1000,18))</f>
      </c>
      <c r="E55" s="25">
        <f>IF($A55="","",SUMIFS(Cashflows!$D$5:$D$5000,Cashflows!$B$5:$B$5000,$A55,Cashflows!$C$5:$C$5000,"Abruf"))</f>
      </c>
      <c r="F55" s="25">
        <f>IF($A55="","",SUMIFS(Cashflows!$D$5:$D$5000,Cashflows!$B$5:$B$5000,$A55,Cashflows!$C$5:$C$5000,"Gebühr außerhalb der Zusage")+SUMIFS(Cashflows!$D$5:$D$5000,Cashflows!$B$5:$B$5000,$A55,Cashflows!$C$5:$C$5000,"Ausgleichszins"))</f>
      </c>
      <c r="G55" s="25">
        <f>IF($A55="","",SUMIFS(Cashflows!$D$5:$D$5000,Cashflows!$B$5:$B$5000,$A55,Cashflows!$C$5:$C$5000,"Ausschüttung"))</f>
      </c>
      <c r="H55" s="25">
        <f>IF($A55="","",SUMIFS(Cashflows!$E$5:$E$5000,Cashflows!$B$5:$B$5000,$A55,Cashflows!$C$5:$C$5000,"Ausschüttung"))</f>
      </c>
      <c r="I55" s="26">
        <f>IF($A55="","",D55-E55+H55)</f>
      </c>
      <c r="J55" s="25">
        <f>IF($A55="","",SUMIFS(Cashflows!$D$5:$D$5000,Cashflows!$B$5:$B$5000,$A55,Cashflows!$G$5:$G$5000,"Angekündigt",Cashflows!$C$5:$C$5000,"&lt;&gt;Ausschüttung"))</f>
      </c>
      <c r="K55" s="27">
        <f>IF($A55="","",IF(COUNTIFS(Cashflows!$B$5:$B$5000,$A55,Cashflows!$G$5:$G$5000,"Angekündigt",Cashflows!$C$5:$C$5000,"&lt;&gt;Ausschüttung",Cashflows!$F$5:$F$5000,"&gt;0")=0,"",MINIFS(Cashflows!$F$5:$F$5000,Cashflows!$B$5:$B$5000,$A55,Cashflows!$G$5:$G$5000,"Angekündigt",Cashflows!$C$5:$C$5000,"&lt;&gt;Ausschüttung",Cashflows!$F$5:$F$5000,"&gt;0")))</f>
      </c>
      <c r="L55" s="25">
        <f>IF($A55="","",I55+J55)</f>
      </c>
    </row>
    <row r="56" spans="1:12" x14ac:dyDescent="0.25">
      <c r="A56" s="23">
        <f>IF(INDEX(Fonds!$A$1:$A$1000,19)="","",INDEX(Fonds!$A$1:$A$1000,19))</f>
      </c>
      <c r="B56" s="23">
        <f>IF($A56="","",INDEX(Fonds!$B$1:$B$1000,19)&amp;"")</f>
      </c>
      <c r="C56" s="23">
        <f>IF($A56="","",INDEX(Fonds!$D$1:$D$1000,19)&amp;"")</f>
      </c>
      <c r="D56" s="25">
        <f>IF($A56="","",INDEX(Fonds!$E$1:$E$1000,19))</f>
      </c>
      <c r="E56" s="25">
        <f>IF($A56="","",SUMIFS(Cashflows!$D$5:$D$5000,Cashflows!$B$5:$B$5000,$A56,Cashflows!$C$5:$C$5000,"Abruf"))</f>
      </c>
      <c r="F56" s="25">
        <f>IF($A56="","",SUMIFS(Cashflows!$D$5:$D$5000,Cashflows!$B$5:$B$5000,$A56,Cashflows!$C$5:$C$5000,"Gebühr außerhalb der Zusage")+SUMIFS(Cashflows!$D$5:$D$5000,Cashflows!$B$5:$B$5000,$A56,Cashflows!$C$5:$C$5000,"Ausgleichszins"))</f>
      </c>
      <c r="G56" s="25">
        <f>IF($A56="","",SUMIFS(Cashflows!$D$5:$D$5000,Cashflows!$B$5:$B$5000,$A56,Cashflows!$C$5:$C$5000,"Ausschüttung"))</f>
      </c>
      <c r="H56" s="25">
        <f>IF($A56="","",SUMIFS(Cashflows!$E$5:$E$5000,Cashflows!$B$5:$B$5000,$A56,Cashflows!$C$5:$C$5000,"Ausschüttung"))</f>
      </c>
      <c r="I56" s="26">
        <f>IF($A56="","",D56-E56+H56)</f>
      </c>
      <c r="J56" s="25">
        <f>IF($A56="","",SUMIFS(Cashflows!$D$5:$D$5000,Cashflows!$B$5:$B$5000,$A56,Cashflows!$G$5:$G$5000,"Angekündigt",Cashflows!$C$5:$C$5000,"&lt;&gt;Ausschüttung"))</f>
      </c>
      <c r="K56" s="27">
        <f>IF($A56="","",IF(COUNTIFS(Cashflows!$B$5:$B$5000,$A56,Cashflows!$G$5:$G$5000,"Angekündigt",Cashflows!$C$5:$C$5000,"&lt;&gt;Ausschüttung",Cashflows!$F$5:$F$5000,"&gt;0")=0,"",MINIFS(Cashflows!$F$5:$F$5000,Cashflows!$B$5:$B$5000,$A56,Cashflows!$G$5:$G$5000,"Angekündigt",Cashflows!$C$5:$C$5000,"&lt;&gt;Ausschüttung",Cashflows!$F$5:$F$5000,"&gt;0")))</f>
      </c>
      <c r="L56" s="25">
        <f>IF($A56="","",I56+J56)</f>
      </c>
    </row>
    <row r="57" spans="1:12" x14ac:dyDescent="0.25">
      <c r="A57" s="23">
        <f>IF(INDEX(Fonds!$A$1:$A$1000,20)="","",INDEX(Fonds!$A$1:$A$1000,20))</f>
      </c>
      <c r="B57" s="23">
        <f>IF($A57="","",INDEX(Fonds!$B$1:$B$1000,20)&amp;"")</f>
      </c>
      <c r="C57" s="23">
        <f>IF($A57="","",INDEX(Fonds!$D$1:$D$1000,20)&amp;"")</f>
      </c>
      <c r="D57" s="25">
        <f>IF($A57="","",INDEX(Fonds!$E$1:$E$1000,20))</f>
      </c>
      <c r="E57" s="25">
        <f>IF($A57="","",SUMIFS(Cashflows!$D$5:$D$5000,Cashflows!$B$5:$B$5000,$A57,Cashflows!$C$5:$C$5000,"Abruf"))</f>
      </c>
      <c r="F57" s="25">
        <f>IF($A57="","",SUMIFS(Cashflows!$D$5:$D$5000,Cashflows!$B$5:$B$5000,$A57,Cashflows!$C$5:$C$5000,"Gebühr außerhalb der Zusage")+SUMIFS(Cashflows!$D$5:$D$5000,Cashflows!$B$5:$B$5000,$A57,Cashflows!$C$5:$C$5000,"Ausgleichszins"))</f>
      </c>
      <c r="G57" s="25">
        <f>IF($A57="","",SUMIFS(Cashflows!$D$5:$D$5000,Cashflows!$B$5:$B$5000,$A57,Cashflows!$C$5:$C$5000,"Ausschüttung"))</f>
      </c>
      <c r="H57" s="25">
        <f>IF($A57="","",SUMIFS(Cashflows!$E$5:$E$5000,Cashflows!$B$5:$B$5000,$A57,Cashflows!$C$5:$C$5000,"Ausschüttung"))</f>
      </c>
      <c r="I57" s="26">
        <f>IF($A57="","",D57-E57+H57)</f>
      </c>
      <c r="J57" s="25">
        <f>IF($A57="","",SUMIFS(Cashflows!$D$5:$D$5000,Cashflows!$B$5:$B$5000,$A57,Cashflows!$G$5:$G$5000,"Angekündigt",Cashflows!$C$5:$C$5000,"&lt;&gt;Ausschüttung"))</f>
      </c>
      <c r="K57" s="27">
        <f>IF($A57="","",IF(COUNTIFS(Cashflows!$B$5:$B$5000,$A57,Cashflows!$G$5:$G$5000,"Angekündigt",Cashflows!$C$5:$C$5000,"&lt;&gt;Ausschüttung",Cashflows!$F$5:$F$5000,"&gt;0")=0,"",MINIFS(Cashflows!$F$5:$F$5000,Cashflows!$B$5:$B$5000,$A57,Cashflows!$G$5:$G$5000,"Angekündigt",Cashflows!$C$5:$C$5000,"&lt;&gt;Ausschüttung",Cashflows!$F$5:$F$5000,"&gt;0")))</f>
      </c>
      <c r="L57" s="25">
        <f>IF($A57="","",I57+J57)</f>
      </c>
    </row>
    <row r="58" spans="1:12" x14ac:dyDescent="0.25">
      <c r="A58" s="23">
        <f>IF(INDEX(Fonds!$A$1:$A$1000,21)="","",INDEX(Fonds!$A$1:$A$1000,21))</f>
      </c>
      <c r="B58" s="23">
        <f>IF($A58="","",INDEX(Fonds!$B$1:$B$1000,21)&amp;"")</f>
      </c>
      <c r="C58" s="23">
        <f>IF($A58="","",INDEX(Fonds!$D$1:$D$1000,21)&amp;"")</f>
      </c>
      <c r="D58" s="25">
        <f>IF($A58="","",INDEX(Fonds!$E$1:$E$1000,21))</f>
      </c>
      <c r="E58" s="25">
        <f>IF($A58="","",SUMIFS(Cashflows!$D$5:$D$5000,Cashflows!$B$5:$B$5000,$A58,Cashflows!$C$5:$C$5000,"Abruf"))</f>
      </c>
      <c r="F58" s="25">
        <f>IF($A58="","",SUMIFS(Cashflows!$D$5:$D$5000,Cashflows!$B$5:$B$5000,$A58,Cashflows!$C$5:$C$5000,"Gebühr außerhalb der Zusage")+SUMIFS(Cashflows!$D$5:$D$5000,Cashflows!$B$5:$B$5000,$A58,Cashflows!$C$5:$C$5000,"Ausgleichszins"))</f>
      </c>
      <c r="G58" s="25">
        <f>IF($A58="","",SUMIFS(Cashflows!$D$5:$D$5000,Cashflows!$B$5:$B$5000,$A58,Cashflows!$C$5:$C$5000,"Ausschüttung"))</f>
      </c>
      <c r="H58" s="25">
        <f>IF($A58="","",SUMIFS(Cashflows!$E$5:$E$5000,Cashflows!$B$5:$B$5000,$A58,Cashflows!$C$5:$C$5000,"Ausschüttung"))</f>
      </c>
      <c r="I58" s="26">
        <f>IF($A58="","",D58-E58+H58)</f>
      </c>
      <c r="J58" s="25">
        <f>IF($A58="","",SUMIFS(Cashflows!$D$5:$D$5000,Cashflows!$B$5:$B$5000,$A58,Cashflows!$G$5:$G$5000,"Angekündigt",Cashflows!$C$5:$C$5000,"&lt;&gt;Ausschüttung"))</f>
      </c>
      <c r="K58" s="27">
        <f>IF($A58="","",IF(COUNTIFS(Cashflows!$B$5:$B$5000,$A58,Cashflows!$G$5:$G$5000,"Angekündigt",Cashflows!$C$5:$C$5000,"&lt;&gt;Ausschüttung",Cashflows!$F$5:$F$5000,"&gt;0")=0,"",MINIFS(Cashflows!$F$5:$F$5000,Cashflows!$B$5:$B$5000,$A58,Cashflows!$G$5:$G$5000,"Angekündigt",Cashflows!$C$5:$C$5000,"&lt;&gt;Ausschüttung",Cashflows!$F$5:$F$5000,"&gt;0")))</f>
      </c>
      <c r="L58" s="25">
        <f>IF($A58="","",I58+J58)</f>
      </c>
    </row>
    <row r="59" spans="1:12" x14ac:dyDescent="0.25">
      <c r="A59" s="23">
        <f>IF(INDEX(Fonds!$A$1:$A$1000,22)="","",INDEX(Fonds!$A$1:$A$1000,22))</f>
      </c>
      <c r="B59" s="23">
        <f>IF($A59="","",INDEX(Fonds!$B$1:$B$1000,22)&amp;"")</f>
      </c>
      <c r="C59" s="23">
        <f>IF($A59="","",INDEX(Fonds!$D$1:$D$1000,22)&amp;"")</f>
      </c>
      <c r="D59" s="25">
        <f>IF($A59="","",INDEX(Fonds!$E$1:$E$1000,22))</f>
      </c>
      <c r="E59" s="25">
        <f>IF($A59="","",SUMIFS(Cashflows!$D$5:$D$5000,Cashflows!$B$5:$B$5000,$A59,Cashflows!$C$5:$C$5000,"Abruf"))</f>
      </c>
      <c r="F59" s="25">
        <f>IF($A59="","",SUMIFS(Cashflows!$D$5:$D$5000,Cashflows!$B$5:$B$5000,$A59,Cashflows!$C$5:$C$5000,"Gebühr außerhalb der Zusage")+SUMIFS(Cashflows!$D$5:$D$5000,Cashflows!$B$5:$B$5000,$A59,Cashflows!$C$5:$C$5000,"Ausgleichszins"))</f>
      </c>
      <c r="G59" s="25">
        <f>IF($A59="","",SUMIFS(Cashflows!$D$5:$D$5000,Cashflows!$B$5:$B$5000,$A59,Cashflows!$C$5:$C$5000,"Ausschüttung"))</f>
      </c>
      <c r="H59" s="25">
        <f>IF($A59="","",SUMIFS(Cashflows!$E$5:$E$5000,Cashflows!$B$5:$B$5000,$A59,Cashflows!$C$5:$C$5000,"Ausschüttung"))</f>
      </c>
      <c r="I59" s="26">
        <f>IF($A59="","",D59-E59+H59)</f>
      </c>
      <c r="J59" s="25">
        <f>IF($A59="","",SUMIFS(Cashflows!$D$5:$D$5000,Cashflows!$B$5:$B$5000,$A59,Cashflows!$G$5:$G$5000,"Angekündigt",Cashflows!$C$5:$C$5000,"&lt;&gt;Ausschüttung"))</f>
      </c>
      <c r="K59" s="27">
        <f>IF($A59="","",IF(COUNTIFS(Cashflows!$B$5:$B$5000,$A59,Cashflows!$G$5:$G$5000,"Angekündigt",Cashflows!$C$5:$C$5000,"&lt;&gt;Ausschüttung",Cashflows!$F$5:$F$5000,"&gt;0")=0,"",MINIFS(Cashflows!$F$5:$F$5000,Cashflows!$B$5:$B$5000,$A59,Cashflows!$G$5:$G$5000,"Angekündigt",Cashflows!$C$5:$C$5000,"&lt;&gt;Ausschüttung",Cashflows!$F$5:$F$5000,"&gt;0")))</f>
      </c>
      <c r="L59" s="25">
        <f>IF($A59="","",I59+J59)</f>
      </c>
    </row>
    <row r="60" spans="1:12" x14ac:dyDescent="0.25">
      <c r="A60" s="23">
        <f>IF(INDEX(Fonds!$A$1:$A$1000,23)="","",INDEX(Fonds!$A$1:$A$1000,23))</f>
      </c>
      <c r="B60" s="23">
        <f>IF($A60="","",INDEX(Fonds!$B$1:$B$1000,23)&amp;"")</f>
      </c>
      <c r="C60" s="23">
        <f>IF($A60="","",INDEX(Fonds!$D$1:$D$1000,23)&amp;"")</f>
      </c>
      <c r="D60" s="25">
        <f>IF($A60="","",INDEX(Fonds!$E$1:$E$1000,23))</f>
      </c>
      <c r="E60" s="25">
        <f>IF($A60="","",SUMIFS(Cashflows!$D$5:$D$5000,Cashflows!$B$5:$B$5000,$A60,Cashflows!$C$5:$C$5000,"Abruf"))</f>
      </c>
      <c r="F60" s="25">
        <f>IF($A60="","",SUMIFS(Cashflows!$D$5:$D$5000,Cashflows!$B$5:$B$5000,$A60,Cashflows!$C$5:$C$5000,"Gebühr außerhalb der Zusage")+SUMIFS(Cashflows!$D$5:$D$5000,Cashflows!$B$5:$B$5000,$A60,Cashflows!$C$5:$C$5000,"Ausgleichszins"))</f>
      </c>
      <c r="G60" s="25">
        <f>IF($A60="","",SUMIFS(Cashflows!$D$5:$D$5000,Cashflows!$B$5:$B$5000,$A60,Cashflows!$C$5:$C$5000,"Ausschüttung"))</f>
      </c>
      <c r="H60" s="25">
        <f>IF($A60="","",SUMIFS(Cashflows!$E$5:$E$5000,Cashflows!$B$5:$B$5000,$A60,Cashflows!$C$5:$C$5000,"Ausschüttung"))</f>
      </c>
      <c r="I60" s="26">
        <f>IF($A60="","",D60-E60+H60)</f>
      </c>
      <c r="J60" s="25">
        <f>IF($A60="","",SUMIFS(Cashflows!$D$5:$D$5000,Cashflows!$B$5:$B$5000,$A60,Cashflows!$G$5:$G$5000,"Angekündigt",Cashflows!$C$5:$C$5000,"&lt;&gt;Ausschüttung"))</f>
      </c>
      <c r="K60" s="27">
        <f>IF($A60="","",IF(COUNTIFS(Cashflows!$B$5:$B$5000,$A60,Cashflows!$G$5:$G$5000,"Angekündigt",Cashflows!$C$5:$C$5000,"&lt;&gt;Ausschüttung",Cashflows!$F$5:$F$5000,"&gt;0")=0,"",MINIFS(Cashflows!$F$5:$F$5000,Cashflows!$B$5:$B$5000,$A60,Cashflows!$G$5:$G$5000,"Angekündigt",Cashflows!$C$5:$C$5000,"&lt;&gt;Ausschüttung",Cashflows!$F$5:$F$5000,"&gt;0")))</f>
      </c>
      <c r="L60" s="25">
        <f>IF($A60="","",I60+J60)</f>
      </c>
    </row>
    <row r="61" spans="1:12" x14ac:dyDescent="0.25">
      <c r="A61" s="23">
        <f>IF(INDEX(Fonds!$A$1:$A$1000,24)="","",INDEX(Fonds!$A$1:$A$1000,24))</f>
      </c>
      <c r="B61" s="23">
        <f>IF($A61="","",INDEX(Fonds!$B$1:$B$1000,24)&amp;"")</f>
      </c>
      <c r="C61" s="23">
        <f>IF($A61="","",INDEX(Fonds!$D$1:$D$1000,24)&amp;"")</f>
      </c>
      <c r="D61" s="25">
        <f>IF($A61="","",INDEX(Fonds!$E$1:$E$1000,24))</f>
      </c>
      <c r="E61" s="25">
        <f>IF($A61="","",SUMIFS(Cashflows!$D$5:$D$5000,Cashflows!$B$5:$B$5000,$A61,Cashflows!$C$5:$C$5000,"Abruf"))</f>
      </c>
      <c r="F61" s="25">
        <f>IF($A61="","",SUMIFS(Cashflows!$D$5:$D$5000,Cashflows!$B$5:$B$5000,$A61,Cashflows!$C$5:$C$5000,"Gebühr außerhalb der Zusage")+SUMIFS(Cashflows!$D$5:$D$5000,Cashflows!$B$5:$B$5000,$A61,Cashflows!$C$5:$C$5000,"Ausgleichszins"))</f>
      </c>
      <c r="G61" s="25">
        <f>IF($A61="","",SUMIFS(Cashflows!$D$5:$D$5000,Cashflows!$B$5:$B$5000,$A61,Cashflows!$C$5:$C$5000,"Ausschüttung"))</f>
      </c>
      <c r="H61" s="25">
        <f>IF($A61="","",SUMIFS(Cashflows!$E$5:$E$5000,Cashflows!$B$5:$B$5000,$A61,Cashflows!$C$5:$C$5000,"Ausschüttung"))</f>
      </c>
      <c r="I61" s="26">
        <f>IF($A61="","",D61-E61+H61)</f>
      </c>
      <c r="J61" s="25">
        <f>IF($A61="","",SUMIFS(Cashflows!$D$5:$D$5000,Cashflows!$B$5:$B$5000,$A61,Cashflows!$G$5:$G$5000,"Angekündigt",Cashflows!$C$5:$C$5000,"&lt;&gt;Ausschüttung"))</f>
      </c>
      <c r="K61" s="27">
        <f>IF($A61="","",IF(COUNTIFS(Cashflows!$B$5:$B$5000,$A61,Cashflows!$G$5:$G$5000,"Angekündigt",Cashflows!$C$5:$C$5000,"&lt;&gt;Ausschüttung",Cashflows!$F$5:$F$5000,"&gt;0")=0,"",MINIFS(Cashflows!$F$5:$F$5000,Cashflows!$B$5:$B$5000,$A61,Cashflows!$G$5:$G$5000,"Angekündigt",Cashflows!$C$5:$C$5000,"&lt;&gt;Ausschüttung",Cashflows!$F$5:$F$5000,"&gt;0")))</f>
      </c>
      <c r="L61" s="25">
        <f>IF($A61="","",I61+J61)</f>
      </c>
    </row>
    <row r="62" spans="1:12" x14ac:dyDescent="0.25">
      <c r="A62" s="23">
        <f>IF(INDEX(Fonds!$A$1:$A$1000,25)="","",INDEX(Fonds!$A$1:$A$1000,25))</f>
      </c>
      <c r="B62" s="23">
        <f>IF($A62="","",INDEX(Fonds!$B$1:$B$1000,25)&amp;"")</f>
      </c>
      <c r="C62" s="23">
        <f>IF($A62="","",INDEX(Fonds!$D$1:$D$1000,25)&amp;"")</f>
      </c>
      <c r="D62" s="25">
        <f>IF($A62="","",INDEX(Fonds!$E$1:$E$1000,25))</f>
      </c>
      <c r="E62" s="25">
        <f>IF($A62="","",SUMIFS(Cashflows!$D$5:$D$5000,Cashflows!$B$5:$B$5000,$A62,Cashflows!$C$5:$C$5000,"Abruf"))</f>
      </c>
      <c r="F62" s="25">
        <f>IF($A62="","",SUMIFS(Cashflows!$D$5:$D$5000,Cashflows!$B$5:$B$5000,$A62,Cashflows!$C$5:$C$5000,"Gebühr außerhalb der Zusage")+SUMIFS(Cashflows!$D$5:$D$5000,Cashflows!$B$5:$B$5000,$A62,Cashflows!$C$5:$C$5000,"Ausgleichszins"))</f>
      </c>
      <c r="G62" s="25">
        <f>IF($A62="","",SUMIFS(Cashflows!$D$5:$D$5000,Cashflows!$B$5:$B$5000,$A62,Cashflows!$C$5:$C$5000,"Ausschüttung"))</f>
      </c>
      <c r="H62" s="25">
        <f>IF($A62="","",SUMIFS(Cashflows!$E$5:$E$5000,Cashflows!$B$5:$B$5000,$A62,Cashflows!$C$5:$C$5000,"Ausschüttung"))</f>
      </c>
      <c r="I62" s="26">
        <f>IF($A62="","",D62-E62+H62)</f>
      </c>
      <c r="J62" s="25">
        <f>IF($A62="","",SUMIFS(Cashflows!$D$5:$D$5000,Cashflows!$B$5:$B$5000,$A62,Cashflows!$G$5:$G$5000,"Angekündigt",Cashflows!$C$5:$C$5000,"&lt;&gt;Ausschüttung"))</f>
      </c>
      <c r="K62" s="27">
        <f>IF($A62="","",IF(COUNTIFS(Cashflows!$B$5:$B$5000,$A62,Cashflows!$G$5:$G$5000,"Angekündigt",Cashflows!$C$5:$C$5000,"&lt;&gt;Ausschüttung",Cashflows!$F$5:$F$5000,"&gt;0")=0,"",MINIFS(Cashflows!$F$5:$F$5000,Cashflows!$B$5:$B$5000,$A62,Cashflows!$G$5:$G$5000,"Angekündigt",Cashflows!$C$5:$C$5000,"&lt;&gt;Ausschüttung",Cashflows!$F$5:$F$5000,"&gt;0")))</f>
      </c>
      <c r="L62" s="25">
        <f>IF($A62="","",I62+J62)</f>
      </c>
    </row>
    <row r="63" spans="1:12" x14ac:dyDescent="0.25">
      <c r="A63" s="23">
        <f>IF(INDEX(Fonds!$A$1:$A$1000,26)="","",INDEX(Fonds!$A$1:$A$1000,26))</f>
      </c>
      <c r="B63" s="23">
        <f>IF($A63="","",INDEX(Fonds!$B$1:$B$1000,26)&amp;"")</f>
      </c>
      <c r="C63" s="23">
        <f>IF($A63="","",INDEX(Fonds!$D$1:$D$1000,26)&amp;"")</f>
      </c>
      <c r="D63" s="25">
        <f>IF($A63="","",INDEX(Fonds!$E$1:$E$1000,26))</f>
      </c>
      <c r="E63" s="25">
        <f>IF($A63="","",SUMIFS(Cashflows!$D$5:$D$5000,Cashflows!$B$5:$B$5000,$A63,Cashflows!$C$5:$C$5000,"Abruf"))</f>
      </c>
      <c r="F63" s="25">
        <f>IF($A63="","",SUMIFS(Cashflows!$D$5:$D$5000,Cashflows!$B$5:$B$5000,$A63,Cashflows!$C$5:$C$5000,"Gebühr außerhalb der Zusage")+SUMIFS(Cashflows!$D$5:$D$5000,Cashflows!$B$5:$B$5000,$A63,Cashflows!$C$5:$C$5000,"Ausgleichszins"))</f>
      </c>
      <c r="G63" s="25">
        <f>IF($A63="","",SUMIFS(Cashflows!$D$5:$D$5000,Cashflows!$B$5:$B$5000,$A63,Cashflows!$C$5:$C$5000,"Ausschüttung"))</f>
      </c>
      <c r="H63" s="25">
        <f>IF($A63="","",SUMIFS(Cashflows!$E$5:$E$5000,Cashflows!$B$5:$B$5000,$A63,Cashflows!$C$5:$C$5000,"Ausschüttung"))</f>
      </c>
      <c r="I63" s="26">
        <f>IF($A63="","",D63-E63+H63)</f>
      </c>
      <c r="J63" s="25">
        <f>IF($A63="","",SUMIFS(Cashflows!$D$5:$D$5000,Cashflows!$B$5:$B$5000,$A63,Cashflows!$G$5:$G$5000,"Angekündigt",Cashflows!$C$5:$C$5000,"&lt;&gt;Ausschüttung"))</f>
      </c>
      <c r="K63" s="27">
        <f>IF($A63="","",IF(COUNTIFS(Cashflows!$B$5:$B$5000,$A63,Cashflows!$G$5:$G$5000,"Angekündigt",Cashflows!$C$5:$C$5000,"&lt;&gt;Ausschüttung",Cashflows!$F$5:$F$5000,"&gt;0")=0,"",MINIFS(Cashflows!$F$5:$F$5000,Cashflows!$B$5:$B$5000,$A63,Cashflows!$G$5:$G$5000,"Angekündigt",Cashflows!$C$5:$C$5000,"&lt;&gt;Ausschüttung",Cashflows!$F$5:$F$5000,"&gt;0")))</f>
      </c>
      <c r="L63" s="25">
        <f>IF($A63="","",I63+J63)</f>
      </c>
    </row>
    <row r="64" spans="1:12" x14ac:dyDescent="0.25">
      <c r="A64" s="23">
        <f>IF(INDEX(Fonds!$A$1:$A$1000,27)="","",INDEX(Fonds!$A$1:$A$1000,27))</f>
      </c>
      <c r="B64" s="23">
        <f>IF($A64="","",INDEX(Fonds!$B$1:$B$1000,27)&amp;"")</f>
      </c>
      <c r="C64" s="23">
        <f>IF($A64="","",INDEX(Fonds!$D$1:$D$1000,27)&amp;"")</f>
      </c>
      <c r="D64" s="25">
        <f>IF($A64="","",INDEX(Fonds!$E$1:$E$1000,27))</f>
      </c>
      <c r="E64" s="25">
        <f>IF($A64="","",SUMIFS(Cashflows!$D$5:$D$5000,Cashflows!$B$5:$B$5000,$A64,Cashflows!$C$5:$C$5000,"Abruf"))</f>
      </c>
      <c r="F64" s="25">
        <f>IF($A64="","",SUMIFS(Cashflows!$D$5:$D$5000,Cashflows!$B$5:$B$5000,$A64,Cashflows!$C$5:$C$5000,"Gebühr außerhalb der Zusage")+SUMIFS(Cashflows!$D$5:$D$5000,Cashflows!$B$5:$B$5000,$A64,Cashflows!$C$5:$C$5000,"Ausgleichszins"))</f>
      </c>
      <c r="G64" s="25">
        <f>IF($A64="","",SUMIFS(Cashflows!$D$5:$D$5000,Cashflows!$B$5:$B$5000,$A64,Cashflows!$C$5:$C$5000,"Ausschüttung"))</f>
      </c>
      <c r="H64" s="25">
        <f>IF($A64="","",SUMIFS(Cashflows!$E$5:$E$5000,Cashflows!$B$5:$B$5000,$A64,Cashflows!$C$5:$C$5000,"Ausschüttung"))</f>
      </c>
      <c r="I64" s="26">
        <f>IF($A64="","",D64-E64+H64)</f>
      </c>
      <c r="J64" s="25">
        <f>IF($A64="","",SUMIFS(Cashflows!$D$5:$D$5000,Cashflows!$B$5:$B$5000,$A64,Cashflows!$G$5:$G$5000,"Angekündigt",Cashflows!$C$5:$C$5000,"&lt;&gt;Ausschüttung"))</f>
      </c>
      <c r="K64" s="27">
        <f>IF($A64="","",IF(COUNTIFS(Cashflows!$B$5:$B$5000,$A64,Cashflows!$G$5:$G$5000,"Angekündigt",Cashflows!$C$5:$C$5000,"&lt;&gt;Ausschüttung",Cashflows!$F$5:$F$5000,"&gt;0")=0,"",MINIFS(Cashflows!$F$5:$F$5000,Cashflows!$B$5:$B$5000,$A64,Cashflows!$G$5:$G$5000,"Angekündigt",Cashflows!$C$5:$C$5000,"&lt;&gt;Ausschüttung",Cashflows!$F$5:$F$5000,"&gt;0")))</f>
      </c>
      <c r="L64" s="25">
        <f>IF($A64="","",I64+J64)</f>
      </c>
    </row>
    <row r="65" spans="1:12" x14ac:dyDescent="0.25">
      <c r="A65" s="23">
        <f>IF(INDEX(Fonds!$A$1:$A$1000,28)="","",INDEX(Fonds!$A$1:$A$1000,28))</f>
      </c>
      <c r="B65" s="23">
        <f>IF($A65="","",INDEX(Fonds!$B$1:$B$1000,28)&amp;"")</f>
      </c>
      <c r="C65" s="23">
        <f>IF($A65="","",INDEX(Fonds!$D$1:$D$1000,28)&amp;"")</f>
      </c>
      <c r="D65" s="25">
        <f>IF($A65="","",INDEX(Fonds!$E$1:$E$1000,28))</f>
      </c>
      <c r="E65" s="25">
        <f>IF($A65="","",SUMIFS(Cashflows!$D$5:$D$5000,Cashflows!$B$5:$B$5000,$A65,Cashflows!$C$5:$C$5000,"Abruf"))</f>
      </c>
      <c r="F65" s="25">
        <f>IF($A65="","",SUMIFS(Cashflows!$D$5:$D$5000,Cashflows!$B$5:$B$5000,$A65,Cashflows!$C$5:$C$5000,"Gebühr außerhalb der Zusage")+SUMIFS(Cashflows!$D$5:$D$5000,Cashflows!$B$5:$B$5000,$A65,Cashflows!$C$5:$C$5000,"Ausgleichszins"))</f>
      </c>
      <c r="G65" s="25">
        <f>IF($A65="","",SUMIFS(Cashflows!$D$5:$D$5000,Cashflows!$B$5:$B$5000,$A65,Cashflows!$C$5:$C$5000,"Ausschüttung"))</f>
      </c>
      <c r="H65" s="25">
        <f>IF($A65="","",SUMIFS(Cashflows!$E$5:$E$5000,Cashflows!$B$5:$B$5000,$A65,Cashflows!$C$5:$C$5000,"Ausschüttung"))</f>
      </c>
      <c r="I65" s="26">
        <f>IF($A65="","",D65-E65+H65)</f>
      </c>
      <c r="J65" s="25">
        <f>IF($A65="","",SUMIFS(Cashflows!$D$5:$D$5000,Cashflows!$B$5:$B$5000,$A65,Cashflows!$G$5:$G$5000,"Angekündigt",Cashflows!$C$5:$C$5000,"&lt;&gt;Ausschüttung"))</f>
      </c>
      <c r="K65" s="27">
        <f>IF($A65="","",IF(COUNTIFS(Cashflows!$B$5:$B$5000,$A65,Cashflows!$G$5:$G$5000,"Angekündigt",Cashflows!$C$5:$C$5000,"&lt;&gt;Ausschüttung",Cashflows!$F$5:$F$5000,"&gt;0")=0,"",MINIFS(Cashflows!$F$5:$F$5000,Cashflows!$B$5:$B$5000,$A65,Cashflows!$G$5:$G$5000,"Angekündigt",Cashflows!$C$5:$C$5000,"&lt;&gt;Ausschüttung",Cashflows!$F$5:$F$5000,"&gt;0")))</f>
      </c>
      <c r="L65" s="25">
        <f>IF($A65="","",I65+J65)</f>
      </c>
    </row>
    <row r="66" spans="1:12" x14ac:dyDescent="0.25">
      <c r="A66" s="23">
        <f>IF(INDEX(Fonds!$A$1:$A$1000,29)="","",INDEX(Fonds!$A$1:$A$1000,29))</f>
      </c>
      <c r="B66" s="23">
        <f>IF($A66="","",INDEX(Fonds!$B$1:$B$1000,29)&amp;"")</f>
      </c>
      <c r="C66" s="23">
        <f>IF($A66="","",INDEX(Fonds!$D$1:$D$1000,29)&amp;"")</f>
      </c>
      <c r="D66" s="25">
        <f>IF($A66="","",INDEX(Fonds!$E$1:$E$1000,29))</f>
      </c>
      <c r="E66" s="25">
        <f>IF($A66="","",SUMIFS(Cashflows!$D$5:$D$5000,Cashflows!$B$5:$B$5000,$A66,Cashflows!$C$5:$C$5000,"Abruf"))</f>
      </c>
      <c r="F66" s="25">
        <f>IF($A66="","",SUMIFS(Cashflows!$D$5:$D$5000,Cashflows!$B$5:$B$5000,$A66,Cashflows!$C$5:$C$5000,"Gebühr außerhalb der Zusage")+SUMIFS(Cashflows!$D$5:$D$5000,Cashflows!$B$5:$B$5000,$A66,Cashflows!$C$5:$C$5000,"Ausgleichszins"))</f>
      </c>
      <c r="G66" s="25">
        <f>IF($A66="","",SUMIFS(Cashflows!$D$5:$D$5000,Cashflows!$B$5:$B$5000,$A66,Cashflows!$C$5:$C$5000,"Ausschüttung"))</f>
      </c>
      <c r="H66" s="25">
        <f>IF($A66="","",SUMIFS(Cashflows!$E$5:$E$5000,Cashflows!$B$5:$B$5000,$A66,Cashflows!$C$5:$C$5000,"Ausschüttung"))</f>
      </c>
      <c r="I66" s="26">
        <f>IF($A66="","",D66-E66+H66)</f>
      </c>
      <c r="J66" s="25">
        <f>IF($A66="","",SUMIFS(Cashflows!$D$5:$D$5000,Cashflows!$B$5:$B$5000,$A66,Cashflows!$G$5:$G$5000,"Angekündigt",Cashflows!$C$5:$C$5000,"&lt;&gt;Ausschüttung"))</f>
      </c>
      <c r="K66" s="27">
        <f>IF($A66="","",IF(COUNTIFS(Cashflows!$B$5:$B$5000,$A66,Cashflows!$G$5:$G$5000,"Angekündigt",Cashflows!$C$5:$C$5000,"&lt;&gt;Ausschüttung",Cashflows!$F$5:$F$5000,"&gt;0")=0,"",MINIFS(Cashflows!$F$5:$F$5000,Cashflows!$B$5:$B$5000,$A66,Cashflows!$G$5:$G$5000,"Angekündigt",Cashflows!$C$5:$C$5000,"&lt;&gt;Ausschüttung",Cashflows!$F$5:$F$5000,"&gt;0")))</f>
      </c>
      <c r="L66" s="25">
        <f>IF($A66="","",I66+J66)</f>
      </c>
    </row>
    <row r="67" spans="1:12" x14ac:dyDescent="0.25">
      <c r="A67" s="23">
        <f>IF(INDEX(Fonds!$A$1:$A$1000,30)="","",INDEX(Fonds!$A$1:$A$1000,30))</f>
      </c>
      <c r="B67" s="23">
        <f>IF($A67="","",INDEX(Fonds!$B$1:$B$1000,30)&amp;"")</f>
      </c>
      <c r="C67" s="23">
        <f>IF($A67="","",INDEX(Fonds!$D$1:$D$1000,30)&amp;"")</f>
      </c>
      <c r="D67" s="25">
        <f>IF($A67="","",INDEX(Fonds!$E$1:$E$1000,30))</f>
      </c>
      <c r="E67" s="25">
        <f>IF($A67="","",SUMIFS(Cashflows!$D$5:$D$5000,Cashflows!$B$5:$B$5000,$A67,Cashflows!$C$5:$C$5000,"Abruf"))</f>
      </c>
      <c r="F67" s="25">
        <f>IF($A67="","",SUMIFS(Cashflows!$D$5:$D$5000,Cashflows!$B$5:$B$5000,$A67,Cashflows!$C$5:$C$5000,"Gebühr außerhalb der Zusage")+SUMIFS(Cashflows!$D$5:$D$5000,Cashflows!$B$5:$B$5000,$A67,Cashflows!$C$5:$C$5000,"Ausgleichszins"))</f>
      </c>
      <c r="G67" s="25">
        <f>IF($A67="","",SUMIFS(Cashflows!$D$5:$D$5000,Cashflows!$B$5:$B$5000,$A67,Cashflows!$C$5:$C$5000,"Ausschüttung"))</f>
      </c>
      <c r="H67" s="25">
        <f>IF($A67="","",SUMIFS(Cashflows!$E$5:$E$5000,Cashflows!$B$5:$B$5000,$A67,Cashflows!$C$5:$C$5000,"Ausschüttung"))</f>
      </c>
      <c r="I67" s="26">
        <f>IF($A67="","",D67-E67+H67)</f>
      </c>
      <c r="J67" s="25">
        <f>IF($A67="","",SUMIFS(Cashflows!$D$5:$D$5000,Cashflows!$B$5:$B$5000,$A67,Cashflows!$G$5:$G$5000,"Angekündigt",Cashflows!$C$5:$C$5000,"&lt;&gt;Ausschüttung"))</f>
      </c>
      <c r="K67" s="27">
        <f>IF($A67="","",IF(COUNTIFS(Cashflows!$B$5:$B$5000,$A67,Cashflows!$G$5:$G$5000,"Angekündigt",Cashflows!$C$5:$C$5000,"&lt;&gt;Ausschüttung",Cashflows!$F$5:$F$5000,"&gt;0")=0,"",MINIFS(Cashflows!$F$5:$F$5000,Cashflows!$B$5:$B$5000,$A67,Cashflows!$G$5:$G$5000,"Angekündigt",Cashflows!$C$5:$C$5000,"&lt;&gt;Ausschüttung",Cashflows!$F$5:$F$5000,"&gt;0")))</f>
      </c>
      <c r="L67" s="25">
        <f>IF($A67="","",I67+J67)</f>
      </c>
    </row>
    <row r="68" spans="1:12" x14ac:dyDescent="0.25">
      <c r="A68" s="23">
        <f>IF(INDEX(Fonds!$A$1:$A$1000,31)="","",INDEX(Fonds!$A$1:$A$1000,31))</f>
      </c>
      <c r="B68" s="23">
        <f>IF($A68="","",INDEX(Fonds!$B$1:$B$1000,31)&amp;"")</f>
      </c>
      <c r="C68" s="23">
        <f>IF($A68="","",INDEX(Fonds!$D$1:$D$1000,31)&amp;"")</f>
      </c>
      <c r="D68" s="25">
        <f>IF($A68="","",INDEX(Fonds!$E$1:$E$1000,31))</f>
      </c>
      <c r="E68" s="25">
        <f>IF($A68="","",SUMIFS(Cashflows!$D$5:$D$5000,Cashflows!$B$5:$B$5000,$A68,Cashflows!$C$5:$C$5000,"Abruf"))</f>
      </c>
      <c r="F68" s="25">
        <f>IF($A68="","",SUMIFS(Cashflows!$D$5:$D$5000,Cashflows!$B$5:$B$5000,$A68,Cashflows!$C$5:$C$5000,"Gebühr außerhalb der Zusage")+SUMIFS(Cashflows!$D$5:$D$5000,Cashflows!$B$5:$B$5000,$A68,Cashflows!$C$5:$C$5000,"Ausgleichszins"))</f>
      </c>
      <c r="G68" s="25">
        <f>IF($A68="","",SUMIFS(Cashflows!$D$5:$D$5000,Cashflows!$B$5:$B$5000,$A68,Cashflows!$C$5:$C$5000,"Ausschüttung"))</f>
      </c>
      <c r="H68" s="25">
        <f>IF($A68="","",SUMIFS(Cashflows!$E$5:$E$5000,Cashflows!$B$5:$B$5000,$A68,Cashflows!$C$5:$C$5000,"Ausschüttung"))</f>
      </c>
      <c r="I68" s="26">
        <f>IF($A68="","",D68-E68+H68)</f>
      </c>
      <c r="J68" s="25">
        <f>IF($A68="","",SUMIFS(Cashflows!$D$5:$D$5000,Cashflows!$B$5:$B$5000,$A68,Cashflows!$G$5:$G$5000,"Angekündigt",Cashflows!$C$5:$C$5000,"&lt;&gt;Ausschüttung"))</f>
      </c>
      <c r="K68" s="27">
        <f>IF($A68="","",IF(COUNTIFS(Cashflows!$B$5:$B$5000,$A68,Cashflows!$G$5:$G$5000,"Angekündigt",Cashflows!$C$5:$C$5000,"&lt;&gt;Ausschüttung",Cashflows!$F$5:$F$5000,"&gt;0")=0,"",MINIFS(Cashflows!$F$5:$F$5000,Cashflows!$B$5:$B$5000,$A68,Cashflows!$G$5:$G$5000,"Angekündigt",Cashflows!$C$5:$C$5000,"&lt;&gt;Ausschüttung",Cashflows!$F$5:$F$5000,"&gt;0")))</f>
      </c>
      <c r="L68" s="25">
        <f>IF($A68="","",I68+J68)</f>
      </c>
    </row>
    <row r="69" spans="1:12" x14ac:dyDescent="0.25">
      <c r="A69" s="23">
        <f>IF(INDEX(Fonds!$A$1:$A$1000,32)="","",INDEX(Fonds!$A$1:$A$1000,32))</f>
      </c>
      <c r="B69" s="23">
        <f>IF($A69="","",INDEX(Fonds!$B$1:$B$1000,32)&amp;"")</f>
      </c>
      <c r="C69" s="23">
        <f>IF($A69="","",INDEX(Fonds!$D$1:$D$1000,32)&amp;"")</f>
      </c>
      <c r="D69" s="25">
        <f>IF($A69="","",INDEX(Fonds!$E$1:$E$1000,32))</f>
      </c>
      <c r="E69" s="25">
        <f>IF($A69="","",SUMIFS(Cashflows!$D$5:$D$5000,Cashflows!$B$5:$B$5000,$A69,Cashflows!$C$5:$C$5000,"Abruf"))</f>
      </c>
      <c r="F69" s="25">
        <f>IF($A69="","",SUMIFS(Cashflows!$D$5:$D$5000,Cashflows!$B$5:$B$5000,$A69,Cashflows!$C$5:$C$5000,"Gebühr außerhalb der Zusage")+SUMIFS(Cashflows!$D$5:$D$5000,Cashflows!$B$5:$B$5000,$A69,Cashflows!$C$5:$C$5000,"Ausgleichszins"))</f>
      </c>
      <c r="G69" s="25">
        <f>IF($A69="","",SUMIFS(Cashflows!$D$5:$D$5000,Cashflows!$B$5:$B$5000,$A69,Cashflows!$C$5:$C$5000,"Ausschüttung"))</f>
      </c>
      <c r="H69" s="25">
        <f>IF($A69="","",SUMIFS(Cashflows!$E$5:$E$5000,Cashflows!$B$5:$B$5000,$A69,Cashflows!$C$5:$C$5000,"Ausschüttung"))</f>
      </c>
      <c r="I69" s="26">
        <f>IF($A69="","",D69-E69+H69)</f>
      </c>
      <c r="J69" s="25">
        <f>IF($A69="","",SUMIFS(Cashflows!$D$5:$D$5000,Cashflows!$B$5:$B$5000,$A69,Cashflows!$G$5:$G$5000,"Angekündigt",Cashflows!$C$5:$C$5000,"&lt;&gt;Ausschüttung"))</f>
      </c>
      <c r="K69" s="27">
        <f>IF($A69="","",IF(COUNTIFS(Cashflows!$B$5:$B$5000,$A69,Cashflows!$G$5:$G$5000,"Angekündigt",Cashflows!$C$5:$C$5000,"&lt;&gt;Ausschüttung",Cashflows!$F$5:$F$5000,"&gt;0")=0,"",MINIFS(Cashflows!$F$5:$F$5000,Cashflows!$B$5:$B$5000,$A69,Cashflows!$G$5:$G$5000,"Angekündigt",Cashflows!$C$5:$C$5000,"&lt;&gt;Ausschüttung",Cashflows!$F$5:$F$5000,"&gt;0")))</f>
      </c>
      <c r="L69" s="25">
        <f>IF($A69="","",I69+J69)</f>
      </c>
    </row>
    <row r="70" spans="1:12" x14ac:dyDescent="0.25">
      <c r="A70" s="23">
        <f>IF(INDEX(Fonds!$A$1:$A$1000,33)="","",INDEX(Fonds!$A$1:$A$1000,33))</f>
      </c>
      <c r="B70" s="23">
        <f>IF($A70="","",INDEX(Fonds!$B$1:$B$1000,33)&amp;"")</f>
      </c>
      <c r="C70" s="23">
        <f>IF($A70="","",INDEX(Fonds!$D$1:$D$1000,33)&amp;"")</f>
      </c>
      <c r="D70" s="25">
        <f>IF($A70="","",INDEX(Fonds!$E$1:$E$1000,33))</f>
      </c>
      <c r="E70" s="25">
        <f>IF($A70="","",SUMIFS(Cashflows!$D$5:$D$5000,Cashflows!$B$5:$B$5000,$A70,Cashflows!$C$5:$C$5000,"Abruf"))</f>
      </c>
      <c r="F70" s="25">
        <f>IF($A70="","",SUMIFS(Cashflows!$D$5:$D$5000,Cashflows!$B$5:$B$5000,$A70,Cashflows!$C$5:$C$5000,"Gebühr außerhalb der Zusage")+SUMIFS(Cashflows!$D$5:$D$5000,Cashflows!$B$5:$B$5000,$A70,Cashflows!$C$5:$C$5000,"Ausgleichszins"))</f>
      </c>
      <c r="G70" s="25">
        <f>IF($A70="","",SUMIFS(Cashflows!$D$5:$D$5000,Cashflows!$B$5:$B$5000,$A70,Cashflows!$C$5:$C$5000,"Ausschüttung"))</f>
      </c>
      <c r="H70" s="25">
        <f>IF($A70="","",SUMIFS(Cashflows!$E$5:$E$5000,Cashflows!$B$5:$B$5000,$A70,Cashflows!$C$5:$C$5000,"Ausschüttung"))</f>
      </c>
      <c r="I70" s="26">
        <f>IF($A70="","",D70-E70+H70)</f>
      </c>
      <c r="J70" s="25">
        <f>IF($A70="","",SUMIFS(Cashflows!$D$5:$D$5000,Cashflows!$B$5:$B$5000,$A70,Cashflows!$G$5:$G$5000,"Angekündigt",Cashflows!$C$5:$C$5000,"&lt;&gt;Ausschüttung"))</f>
      </c>
      <c r="K70" s="27">
        <f>IF($A70="","",IF(COUNTIFS(Cashflows!$B$5:$B$5000,$A70,Cashflows!$G$5:$G$5000,"Angekündigt",Cashflows!$C$5:$C$5000,"&lt;&gt;Ausschüttung",Cashflows!$F$5:$F$5000,"&gt;0")=0,"",MINIFS(Cashflows!$F$5:$F$5000,Cashflows!$B$5:$B$5000,$A70,Cashflows!$G$5:$G$5000,"Angekündigt",Cashflows!$C$5:$C$5000,"&lt;&gt;Ausschüttung",Cashflows!$F$5:$F$5000,"&gt;0")))</f>
      </c>
      <c r="L70" s="25">
        <f>IF($A70="","",I70+J70)</f>
      </c>
    </row>
    <row r="71" spans="1:12" x14ac:dyDescent="0.25">
      <c r="A71" s="23">
        <f>IF(INDEX(Fonds!$A$1:$A$1000,34)="","",INDEX(Fonds!$A$1:$A$1000,34))</f>
      </c>
      <c r="B71" s="23">
        <f>IF($A71="","",INDEX(Fonds!$B$1:$B$1000,34)&amp;"")</f>
      </c>
      <c r="C71" s="23">
        <f>IF($A71="","",INDEX(Fonds!$D$1:$D$1000,34)&amp;"")</f>
      </c>
      <c r="D71" s="25">
        <f>IF($A71="","",INDEX(Fonds!$E$1:$E$1000,34))</f>
      </c>
      <c r="E71" s="25">
        <f>IF($A71="","",SUMIFS(Cashflows!$D$5:$D$5000,Cashflows!$B$5:$B$5000,$A71,Cashflows!$C$5:$C$5000,"Abruf"))</f>
      </c>
      <c r="F71" s="25">
        <f>IF($A71="","",SUMIFS(Cashflows!$D$5:$D$5000,Cashflows!$B$5:$B$5000,$A71,Cashflows!$C$5:$C$5000,"Gebühr außerhalb der Zusage")+SUMIFS(Cashflows!$D$5:$D$5000,Cashflows!$B$5:$B$5000,$A71,Cashflows!$C$5:$C$5000,"Ausgleichszins"))</f>
      </c>
      <c r="G71" s="25">
        <f>IF($A71="","",SUMIFS(Cashflows!$D$5:$D$5000,Cashflows!$B$5:$B$5000,$A71,Cashflows!$C$5:$C$5000,"Ausschüttung"))</f>
      </c>
      <c r="H71" s="25">
        <f>IF($A71="","",SUMIFS(Cashflows!$E$5:$E$5000,Cashflows!$B$5:$B$5000,$A71,Cashflows!$C$5:$C$5000,"Ausschüttung"))</f>
      </c>
      <c r="I71" s="26">
        <f>IF($A71="","",D71-E71+H71)</f>
      </c>
      <c r="J71" s="25">
        <f>IF($A71="","",SUMIFS(Cashflows!$D$5:$D$5000,Cashflows!$B$5:$B$5000,$A71,Cashflows!$G$5:$G$5000,"Angekündigt",Cashflows!$C$5:$C$5000,"&lt;&gt;Ausschüttung"))</f>
      </c>
      <c r="K71" s="27">
        <f>IF($A71="","",IF(COUNTIFS(Cashflows!$B$5:$B$5000,$A71,Cashflows!$G$5:$G$5000,"Angekündigt",Cashflows!$C$5:$C$5000,"&lt;&gt;Ausschüttung",Cashflows!$F$5:$F$5000,"&gt;0")=0,"",MINIFS(Cashflows!$F$5:$F$5000,Cashflows!$B$5:$B$5000,$A71,Cashflows!$G$5:$G$5000,"Angekündigt",Cashflows!$C$5:$C$5000,"&lt;&gt;Ausschüttung",Cashflows!$F$5:$F$5000,"&gt;0")))</f>
      </c>
      <c r="L71" s="25">
        <f>IF($A71="","",I71+J71)</f>
      </c>
    </row>
    <row r="72" spans="1:12" x14ac:dyDescent="0.25">
      <c r="A72" s="23">
        <f>IF(INDEX(Fonds!$A$1:$A$1000,35)="","",INDEX(Fonds!$A$1:$A$1000,35))</f>
      </c>
      <c r="B72" s="23">
        <f>IF($A72="","",INDEX(Fonds!$B$1:$B$1000,35)&amp;"")</f>
      </c>
      <c r="C72" s="23">
        <f>IF($A72="","",INDEX(Fonds!$D$1:$D$1000,35)&amp;"")</f>
      </c>
      <c r="D72" s="25">
        <f>IF($A72="","",INDEX(Fonds!$E$1:$E$1000,35))</f>
      </c>
      <c r="E72" s="25">
        <f>IF($A72="","",SUMIFS(Cashflows!$D$5:$D$5000,Cashflows!$B$5:$B$5000,$A72,Cashflows!$C$5:$C$5000,"Abruf"))</f>
      </c>
      <c r="F72" s="25">
        <f>IF($A72="","",SUMIFS(Cashflows!$D$5:$D$5000,Cashflows!$B$5:$B$5000,$A72,Cashflows!$C$5:$C$5000,"Gebühr außerhalb der Zusage")+SUMIFS(Cashflows!$D$5:$D$5000,Cashflows!$B$5:$B$5000,$A72,Cashflows!$C$5:$C$5000,"Ausgleichszins"))</f>
      </c>
      <c r="G72" s="25">
        <f>IF($A72="","",SUMIFS(Cashflows!$D$5:$D$5000,Cashflows!$B$5:$B$5000,$A72,Cashflows!$C$5:$C$5000,"Ausschüttung"))</f>
      </c>
      <c r="H72" s="25">
        <f>IF($A72="","",SUMIFS(Cashflows!$E$5:$E$5000,Cashflows!$B$5:$B$5000,$A72,Cashflows!$C$5:$C$5000,"Ausschüttung"))</f>
      </c>
      <c r="I72" s="26">
        <f>IF($A72="","",D72-E72+H72)</f>
      </c>
      <c r="J72" s="25">
        <f>IF($A72="","",SUMIFS(Cashflows!$D$5:$D$5000,Cashflows!$B$5:$B$5000,$A72,Cashflows!$G$5:$G$5000,"Angekündigt",Cashflows!$C$5:$C$5000,"&lt;&gt;Ausschüttung"))</f>
      </c>
      <c r="K72" s="27">
        <f>IF($A72="","",IF(COUNTIFS(Cashflows!$B$5:$B$5000,$A72,Cashflows!$G$5:$G$5000,"Angekündigt",Cashflows!$C$5:$C$5000,"&lt;&gt;Ausschüttung",Cashflows!$F$5:$F$5000,"&gt;0")=0,"",MINIFS(Cashflows!$F$5:$F$5000,Cashflows!$B$5:$B$5000,$A72,Cashflows!$G$5:$G$5000,"Angekündigt",Cashflows!$C$5:$C$5000,"&lt;&gt;Ausschüttung",Cashflows!$F$5:$F$5000,"&gt;0")))</f>
      </c>
      <c r="L72" s="25">
        <f>IF($A72="","",I72+J72)</f>
      </c>
    </row>
    <row r="73" spans="1:12" x14ac:dyDescent="0.25">
      <c r="A73" s="23">
        <f>IF(INDEX(Fonds!$A$1:$A$1000,36)="","",INDEX(Fonds!$A$1:$A$1000,36))</f>
      </c>
      <c r="B73" s="23">
        <f>IF($A73="","",INDEX(Fonds!$B$1:$B$1000,36)&amp;"")</f>
      </c>
      <c r="C73" s="23">
        <f>IF($A73="","",INDEX(Fonds!$D$1:$D$1000,36)&amp;"")</f>
      </c>
      <c r="D73" s="25">
        <f>IF($A73="","",INDEX(Fonds!$E$1:$E$1000,36))</f>
      </c>
      <c r="E73" s="25">
        <f>IF($A73="","",SUMIFS(Cashflows!$D$5:$D$5000,Cashflows!$B$5:$B$5000,$A73,Cashflows!$C$5:$C$5000,"Abruf"))</f>
      </c>
      <c r="F73" s="25">
        <f>IF($A73="","",SUMIFS(Cashflows!$D$5:$D$5000,Cashflows!$B$5:$B$5000,$A73,Cashflows!$C$5:$C$5000,"Gebühr außerhalb der Zusage")+SUMIFS(Cashflows!$D$5:$D$5000,Cashflows!$B$5:$B$5000,$A73,Cashflows!$C$5:$C$5000,"Ausgleichszins"))</f>
      </c>
      <c r="G73" s="25">
        <f>IF($A73="","",SUMIFS(Cashflows!$D$5:$D$5000,Cashflows!$B$5:$B$5000,$A73,Cashflows!$C$5:$C$5000,"Ausschüttung"))</f>
      </c>
      <c r="H73" s="25">
        <f>IF($A73="","",SUMIFS(Cashflows!$E$5:$E$5000,Cashflows!$B$5:$B$5000,$A73,Cashflows!$C$5:$C$5000,"Ausschüttung"))</f>
      </c>
      <c r="I73" s="26">
        <f>IF($A73="","",D73-E73+H73)</f>
      </c>
      <c r="J73" s="25">
        <f>IF($A73="","",SUMIFS(Cashflows!$D$5:$D$5000,Cashflows!$B$5:$B$5000,$A73,Cashflows!$G$5:$G$5000,"Angekündigt",Cashflows!$C$5:$C$5000,"&lt;&gt;Ausschüttung"))</f>
      </c>
      <c r="K73" s="27">
        <f>IF($A73="","",IF(COUNTIFS(Cashflows!$B$5:$B$5000,$A73,Cashflows!$G$5:$G$5000,"Angekündigt",Cashflows!$C$5:$C$5000,"&lt;&gt;Ausschüttung",Cashflows!$F$5:$F$5000,"&gt;0")=0,"",MINIFS(Cashflows!$F$5:$F$5000,Cashflows!$B$5:$B$5000,$A73,Cashflows!$G$5:$G$5000,"Angekündigt",Cashflows!$C$5:$C$5000,"&lt;&gt;Ausschüttung",Cashflows!$F$5:$F$5000,"&gt;0")))</f>
      </c>
      <c r="L73" s="25">
        <f>IF($A73="","",I73+J73)</f>
      </c>
    </row>
    <row r="74" spans="1:12" x14ac:dyDescent="0.25">
      <c r="A74" s="23">
        <f>IF(INDEX(Fonds!$A$1:$A$1000,37)="","",INDEX(Fonds!$A$1:$A$1000,37))</f>
      </c>
      <c r="B74" s="23">
        <f>IF($A74="","",INDEX(Fonds!$B$1:$B$1000,37)&amp;"")</f>
      </c>
      <c r="C74" s="23">
        <f>IF($A74="","",INDEX(Fonds!$D$1:$D$1000,37)&amp;"")</f>
      </c>
      <c r="D74" s="25">
        <f>IF($A74="","",INDEX(Fonds!$E$1:$E$1000,37))</f>
      </c>
      <c r="E74" s="25">
        <f>IF($A74="","",SUMIFS(Cashflows!$D$5:$D$5000,Cashflows!$B$5:$B$5000,$A74,Cashflows!$C$5:$C$5000,"Abruf"))</f>
      </c>
      <c r="F74" s="25">
        <f>IF($A74="","",SUMIFS(Cashflows!$D$5:$D$5000,Cashflows!$B$5:$B$5000,$A74,Cashflows!$C$5:$C$5000,"Gebühr außerhalb der Zusage")+SUMIFS(Cashflows!$D$5:$D$5000,Cashflows!$B$5:$B$5000,$A74,Cashflows!$C$5:$C$5000,"Ausgleichszins"))</f>
      </c>
      <c r="G74" s="25">
        <f>IF($A74="","",SUMIFS(Cashflows!$D$5:$D$5000,Cashflows!$B$5:$B$5000,$A74,Cashflows!$C$5:$C$5000,"Ausschüttung"))</f>
      </c>
      <c r="H74" s="25">
        <f>IF($A74="","",SUMIFS(Cashflows!$E$5:$E$5000,Cashflows!$B$5:$B$5000,$A74,Cashflows!$C$5:$C$5000,"Ausschüttung"))</f>
      </c>
      <c r="I74" s="26">
        <f>IF($A74="","",D74-E74+H74)</f>
      </c>
      <c r="J74" s="25">
        <f>IF($A74="","",SUMIFS(Cashflows!$D$5:$D$5000,Cashflows!$B$5:$B$5000,$A74,Cashflows!$G$5:$G$5000,"Angekündigt",Cashflows!$C$5:$C$5000,"&lt;&gt;Ausschüttung"))</f>
      </c>
      <c r="K74" s="27">
        <f>IF($A74="","",IF(COUNTIFS(Cashflows!$B$5:$B$5000,$A74,Cashflows!$G$5:$G$5000,"Angekündigt",Cashflows!$C$5:$C$5000,"&lt;&gt;Ausschüttung",Cashflows!$F$5:$F$5000,"&gt;0")=0,"",MINIFS(Cashflows!$F$5:$F$5000,Cashflows!$B$5:$B$5000,$A74,Cashflows!$G$5:$G$5000,"Angekündigt",Cashflows!$C$5:$C$5000,"&lt;&gt;Ausschüttung",Cashflows!$F$5:$F$5000,"&gt;0")))</f>
      </c>
      <c r="L74" s="25">
        <f>IF($A74="","",I74+J74)</f>
      </c>
    </row>
    <row r="75" spans="1:12" x14ac:dyDescent="0.25">
      <c r="A75" s="23">
        <f>IF(INDEX(Fonds!$A$1:$A$1000,38)="","",INDEX(Fonds!$A$1:$A$1000,38))</f>
      </c>
      <c r="B75" s="23">
        <f>IF($A75="","",INDEX(Fonds!$B$1:$B$1000,38)&amp;"")</f>
      </c>
      <c r="C75" s="23">
        <f>IF($A75="","",INDEX(Fonds!$D$1:$D$1000,38)&amp;"")</f>
      </c>
      <c r="D75" s="25">
        <f>IF($A75="","",INDEX(Fonds!$E$1:$E$1000,38))</f>
      </c>
      <c r="E75" s="25">
        <f>IF($A75="","",SUMIFS(Cashflows!$D$5:$D$5000,Cashflows!$B$5:$B$5000,$A75,Cashflows!$C$5:$C$5000,"Abruf"))</f>
      </c>
      <c r="F75" s="25">
        <f>IF($A75="","",SUMIFS(Cashflows!$D$5:$D$5000,Cashflows!$B$5:$B$5000,$A75,Cashflows!$C$5:$C$5000,"Gebühr außerhalb der Zusage")+SUMIFS(Cashflows!$D$5:$D$5000,Cashflows!$B$5:$B$5000,$A75,Cashflows!$C$5:$C$5000,"Ausgleichszins"))</f>
      </c>
      <c r="G75" s="25">
        <f>IF($A75="","",SUMIFS(Cashflows!$D$5:$D$5000,Cashflows!$B$5:$B$5000,$A75,Cashflows!$C$5:$C$5000,"Ausschüttung"))</f>
      </c>
      <c r="H75" s="25">
        <f>IF($A75="","",SUMIFS(Cashflows!$E$5:$E$5000,Cashflows!$B$5:$B$5000,$A75,Cashflows!$C$5:$C$5000,"Ausschüttung"))</f>
      </c>
      <c r="I75" s="26">
        <f>IF($A75="","",D75-E75+H75)</f>
      </c>
      <c r="J75" s="25">
        <f>IF($A75="","",SUMIFS(Cashflows!$D$5:$D$5000,Cashflows!$B$5:$B$5000,$A75,Cashflows!$G$5:$G$5000,"Angekündigt",Cashflows!$C$5:$C$5000,"&lt;&gt;Ausschüttung"))</f>
      </c>
      <c r="K75" s="27">
        <f>IF($A75="","",IF(COUNTIFS(Cashflows!$B$5:$B$5000,$A75,Cashflows!$G$5:$G$5000,"Angekündigt",Cashflows!$C$5:$C$5000,"&lt;&gt;Ausschüttung",Cashflows!$F$5:$F$5000,"&gt;0")=0,"",MINIFS(Cashflows!$F$5:$F$5000,Cashflows!$B$5:$B$5000,$A75,Cashflows!$G$5:$G$5000,"Angekündigt",Cashflows!$C$5:$C$5000,"&lt;&gt;Ausschüttung",Cashflows!$F$5:$F$5000,"&gt;0")))</f>
      </c>
      <c r="L75" s="25">
        <f>IF($A75="","",I75+J75)</f>
      </c>
    </row>
    <row r="76" spans="1:12" x14ac:dyDescent="0.25">
      <c r="A76" s="23">
        <f>IF(INDEX(Fonds!$A$1:$A$1000,39)="","",INDEX(Fonds!$A$1:$A$1000,39))</f>
      </c>
      <c r="B76" s="23">
        <f>IF($A76="","",INDEX(Fonds!$B$1:$B$1000,39)&amp;"")</f>
      </c>
      <c r="C76" s="23">
        <f>IF($A76="","",INDEX(Fonds!$D$1:$D$1000,39)&amp;"")</f>
      </c>
      <c r="D76" s="25">
        <f>IF($A76="","",INDEX(Fonds!$E$1:$E$1000,39))</f>
      </c>
      <c r="E76" s="25">
        <f>IF($A76="","",SUMIFS(Cashflows!$D$5:$D$5000,Cashflows!$B$5:$B$5000,$A76,Cashflows!$C$5:$C$5000,"Abruf"))</f>
      </c>
      <c r="F76" s="25">
        <f>IF($A76="","",SUMIFS(Cashflows!$D$5:$D$5000,Cashflows!$B$5:$B$5000,$A76,Cashflows!$C$5:$C$5000,"Gebühr außerhalb der Zusage")+SUMIFS(Cashflows!$D$5:$D$5000,Cashflows!$B$5:$B$5000,$A76,Cashflows!$C$5:$C$5000,"Ausgleichszins"))</f>
      </c>
      <c r="G76" s="25">
        <f>IF($A76="","",SUMIFS(Cashflows!$D$5:$D$5000,Cashflows!$B$5:$B$5000,$A76,Cashflows!$C$5:$C$5000,"Ausschüttung"))</f>
      </c>
      <c r="H76" s="25">
        <f>IF($A76="","",SUMIFS(Cashflows!$E$5:$E$5000,Cashflows!$B$5:$B$5000,$A76,Cashflows!$C$5:$C$5000,"Ausschüttung"))</f>
      </c>
      <c r="I76" s="26">
        <f>IF($A76="","",D76-E76+H76)</f>
      </c>
      <c r="J76" s="25">
        <f>IF($A76="","",SUMIFS(Cashflows!$D$5:$D$5000,Cashflows!$B$5:$B$5000,$A76,Cashflows!$G$5:$G$5000,"Angekündigt",Cashflows!$C$5:$C$5000,"&lt;&gt;Ausschüttung"))</f>
      </c>
      <c r="K76" s="27">
        <f>IF($A76="","",IF(COUNTIFS(Cashflows!$B$5:$B$5000,$A76,Cashflows!$G$5:$G$5000,"Angekündigt",Cashflows!$C$5:$C$5000,"&lt;&gt;Ausschüttung",Cashflows!$F$5:$F$5000,"&gt;0")=0,"",MINIFS(Cashflows!$F$5:$F$5000,Cashflows!$B$5:$B$5000,$A76,Cashflows!$G$5:$G$5000,"Angekündigt",Cashflows!$C$5:$C$5000,"&lt;&gt;Ausschüttung",Cashflows!$F$5:$F$5000,"&gt;0")))</f>
      </c>
      <c r="L76" s="25">
        <f>IF($A76="","",I76+J76)</f>
      </c>
    </row>
    <row r="77" spans="1:12" x14ac:dyDescent="0.25">
      <c r="A77" s="23">
        <f>IF(INDEX(Fonds!$A$1:$A$1000,40)="","",INDEX(Fonds!$A$1:$A$1000,40))</f>
      </c>
      <c r="B77" s="23">
        <f>IF($A77="","",INDEX(Fonds!$B$1:$B$1000,40)&amp;"")</f>
      </c>
      <c r="C77" s="23">
        <f>IF($A77="","",INDEX(Fonds!$D$1:$D$1000,40)&amp;"")</f>
      </c>
      <c r="D77" s="25">
        <f>IF($A77="","",INDEX(Fonds!$E$1:$E$1000,40))</f>
      </c>
      <c r="E77" s="25">
        <f>IF($A77="","",SUMIFS(Cashflows!$D$5:$D$5000,Cashflows!$B$5:$B$5000,$A77,Cashflows!$C$5:$C$5000,"Abruf"))</f>
      </c>
      <c r="F77" s="25">
        <f>IF($A77="","",SUMIFS(Cashflows!$D$5:$D$5000,Cashflows!$B$5:$B$5000,$A77,Cashflows!$C$5:$C$5000,"Gebühr außerhalb der Zusage")+SUMIFS(Cashflows!$D$5:$D$5000,Cashflows!$B$5:$B$5000,$A77,Cashflows!$C$5:$C$5000,"Ausgleichszins"))</f>
      </c>
      <c r="G77" s="25">
        <f>IF($A77="","",SUMIFS(Cashflows!$D$5:$D$5000,Cashflows!$B$5:$B$5000,$A77,Cashflows!$C$5:$C$5000,"Ausschüttung"))</f>
      </c>
      <c r="H77" s="25">
        <f>IF($A77="","",SUMIFS(Cashflows!$E$5:$E$5000,Cashflows!$B$5:$B$5000,$A77,Cashflows!$C$5:$C$5000,"Ausschüttung"))</f>
      </c>
      <c r="I77" s="26">
        <f>IF($A77="","",D77-E77+H77)</f>
      </c>
      <c r="J77" s="25">
        <f>IF($A77="","",SUMIFS(Cashflows!$D$5:$D$5000,Cashflows!$B$5:$B$5000,$A77,Cashflows!$G$5:$G$5000,"Angekündigt",Cashflows!$C$5:$C$5000,"&lt;&gt;Ausschüttung"))</f>
      </c>
      <c r="K77" s="27">
        <f>IF($A77="","",IF(COUNTIFS(Cashflows!$B$5:$B$5000,$A77,Cashflows!$G$5:$G$5000,"Angekündigt",Cashflows!$C$5:$C$5000,"&lt;&gt;Ausschüttung",Cashflows!$F$5:$F$5000,"&gt;0")=0,"",MINIFS(Cashflows!$F$5:$F$5000,Cashflows!$B$5:$B$5000,$A77,Cashflows!$G$5:$G$5000,"Angekündigt",Cashflows!$C$5:$C$5000,"&lt;&gt;Ausschüttung",Cashflows!$F$5:$F$5000,"&gt;0")))</f>
      </c>
      <c r="L77" s="25">
        <f>IF($A77="","",I77+J77)</f>
      </c>
    </row>
    <row r="78" spans="1:12" x14ac:dyDescent="0.25">
      <c r="A78" s="23">
        <f>IF(INDEX(Fonds!$A$1:$A$1000,41)="","",INDEX(Fonds!$A$1:$A$1000,41))</f>
      </c>
      <c r="B78" s="23">
        <f>IF($A78="","",INDEX(Fonds!$B$1:$B$1000,41)&amp;"")</f>
      </c>
      <c r="C78" s="23">
        <f>IF($A78="","",INDEX(Fonds!$D$1:$D$1000,41)&amp;"")</f>
      </c>
      <c r="D78" s="25">
        <f>IF($A78="","",INDEX(Fonds!$E$1:$E$1000,41))</f>
      </c>
      <c r="E78" s="25">
        <f>IF($A78="","",SUMIFS(Cashflows!$D$5:$D$5000,Cashflows!$B$5:$B$5000,$A78,Cashflows!$C$5:$C$5000,"Abruf"))</f>
      </c>
      <c r="F78" s="25">
        <f>IF($A78="","",SUMIFS(Cashflows!$D$5:$D$5000,Cashflows!$B$5:$B$5000,$A78,Cashflows!$C$5:$C$5000,"Gebühr außerhalb der Zusage")+SUMIFS(Cashflows!$D$5:$D$5000,Cashflows!$B$5:$B$5000,$A78,Cashflows!$C$5:$C$5000,"Ausgleichszins"))</f>
      </c>
      <c r="G78" s="25">
        <f>IF($A78="","",SUMIFS(Cashflows!$D$5:$D$5000,Cashflows!$B$5:$B$5000,$A78,Cashflows!$C$5:$C$5000,"Ausschüttung"))</f>
      </c>
      <c r="H78" s="25">
        <f>IF($A78="","",SUMIFS(Cashflows!$E$5:$E$5000,Cashflows!$B$5:$B$5000,$A78,Cashflows!$C$5:$C$5000,"Ausschüttung"))</f>
      </c>
      <c r="I78" s="26">
        <f>IF($A78="","",D78-E78+H78)</f>
      </c>
      <c r="J78" s="25">
        <f>IF($A78="","",SUMIFS(Cashflows!$D$5:$D$5000,Cashflows!$B$5:$B$5000,$A78,Cashflows!$G$5:$G$5000,"Angekündigt",Cashflows!$C$5:$C$5000,"&lt;&gt;Ausschüttung"))</f>
      </c>
      <c r="K78" s="27">
        <f>IF($A78="","",IF(COUNTIFS(Cashflows!$B$5:$B$5000,$A78,Cashflows!$G$5:$G$5000,"Angekündigt",Cashflows!$C$5:$C$5000,"&lt;&gt;Ausschüttung",Cashflows!$F$5:$F$5000,"&gt;0")=0,"",MINIFS(Cashflows!$F$5:$F$5000,Cashflows!$B$5:$B$5000,$A78,Cashflows!$G$5:$G$5000,"Angekündigt",Cashflows!$C$5:$C$5000,"&lt;&gt;Ausschüttung",Cashflows!$F$5:$F$5000,"&gt;0")))</f>
      </c>
      <c r="L78" s="25">
        <f>IF($A78="","",I78+J78)</f>
      </c>
    </row>
    <row r="79" spans="1:12" x14ac:dyDescent="0.25">
      <c r="A79" s="23">
        <f>IF(INDEX(Fonds!$A$1:$A$1000,42)="","",INDEX(Fonds!$A$1:$A$1000,42))</f>
      </c>
      <c r="B79" s="23">
        <f>IF($A79="","",INDEX(Fonds!$B$1:$B$1000,42)&amp;"")</f>
      </c>
      <c r="C79" s="23">
        <f>IF($A79="","",INDEX(Fonds!$D$1:$D$1000,42)&amp;"")</f>
      </c>
      <c r="D79" s="25">
        <f>IF($A79="","",INDEX(Fonds!$E$1:$E$1000,42))</f>
      </c>
      <c r="E79" s="25">
        <f>IF($A79="","",SUMIFS(Cashflows!$D$5:$D$5000,Cashflows!$B$5:$B$5000,$A79,Cashflows!$C$5:$C$5000,"Abruf"))</f>
      </c>
      <c r="F79" s="25">
        <f>IF($A79="","",SUMIFS(Cashflows!$D$5:$D$5000,Cashflows!$B$5:$B$5000,$A79,Cashflows!$C$5:$C$5000,"Gebühr außerhalb der Zusage")+SUMIFS(Cashflows!$D$5:$D$5000,Cashflows!$B$5:$B$5000,$A79,Cashflows!$C$5:$C$5000,"Ausgleichszins"))</f>
      </c>
      <c r="G79" s="25">
        <f>IF($A79="","",SUMIFS(Cashflows!$D$5:$D$5000,Cashflows!$B$5:$B$5000,$A79,Cashflows!$C$5:$C$5000,"Ausschüttung"))</f>
      </c>
      <c r="H79" s="25">
        <f>IF($A79="","",SUMIFS(Cashflows!$E$5:$E$5000,Cashflows!$B$5:$B$5000,$A79,Cashflows!$C$5:$C$5000,"Ausschüttung"))</f>
      </c>
      <c r="I79" s="26">
        <f>IF($A79="","",D79-E79+H79)</f>
      </c>
      <c r="J79" s="25">
        <f>IF($A79="","",SUMIFS(Cashflows!$D$5:$D$5000,Cashflows!$B$5:$B$5000,$A79,Cashflows!$G$5:$G$5000,"Angekündigt",Cashflows!$C$5:$C$5000,"&lt;&gt;Ausschüttung"))</f>
      </c>
      <c r="K79" s="27">
        <f>IF($A79="","",IF(COUNTIFS(Cashflows!$B$5:$B$5000,$A79,Cashflows!$G$5:$G$5000,"Angekündigt",Cashflows!$C$5:$C$5000,"&lt;&gt;Ausschüttung",Cashflows!$F$5:$F$5000,"&gt;0")=0,"",MINIFS(Cashflows!$F$5:$F$5000,Cashflows!$B$5:$B$5000,$A79,Cashflows!$G$5:$G$5000,"Angekündigt",Cashflows!$C$5:$C$5000,"&lt;&gt;Ausschüttung",Cashflows!$F$5:$F$5000,"&gt;0")))</f>
      </c>
      <c r="L79" s="25">
        <f>IF($A79="","",I79+J79)</f>
      </c>
    </row>
    <row r="80" spans="1:12" x14ac:dyDescent="0.25">
      <c r="A80" s="23">
        <f>IF(INDEX(Fonds!$A$1:$A$1000,43)="","",INDEX(Fonds!$A$1:$A$1000,43))</f>
      </c>
      <c r="B80" s="23">
        <f>IF($A80="","",INDEX(Fonds!$B$1:$B$1000,43)&amp;"")</f>
      </c>
      <c r="C80" s="23">
        <f>IF($A80="","",INDEX(Fonds!$D$1:$D$1000,43)&amp;"")</f>
      </c>
      <c r="D80" s="25">
        <f>IF($A80="","",INDEX(Fonds!$E$1:$E$1000,43))</f>
      </c>
      <c r="E80" s="25">
        <f>IF($A80="","",SUMIFS(Cashflows!$D$5:$D$5000,Cashflows!$B$5:$B$5000,$A80,Cashflows!$C$5:$C$5000,"Abruf"))</f>
      </c>
      <c r="F80" s="25">
        <f>IF($A80="","",SUMIFS(Cashflows!$D$5:$D$5000,Cashflows!$B$5:$B$5000,$A80,Cashflows!$C$5:$C$5000,"Gebühr außerhalb der Zusage")+SUMIFS(Cashflows!$D$5:$D$5000,Cashflows!$B$5:$B$5000,$A80,Cashflows!$C$5:$C$5000,"Ausgleichszins"))</f>
      </c>
      <c r="G80" s="25">
        <f>IF($A80="","",SUMIFS(Cashflows!$D$5:$D$5000,Cashflows!$B$5:$B$5000,$A80,Cashflows!$C$5:$C$5000,"Ausschüttung"))</f>
      </c>
      <c r="H80" s="25">
        <f>IF($A80="","",SUMIFS(Cashflows!$E$5:$E$5000,Cashflows!$B$5:$B$5000,$A80,Cashflows!$C$5:$C$5000,"Ausschüttung"))</f>
      </c>
      <c r="I80" s="26">
        <f>IF($A80="","",D80-E80+H80)</f>
      </c>
      <c r="J80" s="25">
        <f>IF($A80="","",SUMIFS(Cashflows!$D$5:$D$5000,Cashflows!$B$5:$B$5000,$A80,Cashflows!$G$5:$G$5000,"Angekündigt",Cashflows!$C$5:$C$5000,"&lt;&gt;Ausschüttung"))</f>
      </c>
      <c r="K80" s="27">
        <f>IF($A80="","",IF(COUNTIFS(Cashflows!$B$5:$B$5000,$A80,Cashflows!$G$5:$G$5000,"Angekündigt",Cashflows!$C$5:$C$5000,"&lt;&gt;Ausschüttung",Cashflows!$F$5:$F$5000,"&gt;0")=0,"",MINIFS(Cashflows!$F$5:$F$5000,Cashflows!$B$5:$B$5000,$A80,Cashflows!$G$5:$G$5000,"Angekündigt",Cashflows!$C$5:$C$5000,"&lt;&gt;Ausschüttung",Cashflows!$F$5:$F$5000,"&gt;0")))</f>
      </c>
      <c r="L80" s="25">
        <f>IF($A80="","",I80+J80)</f>
      </c>
    </row>
    <row r="81" spans="1:12" x14ac:dyDescent="0.25">
      <c r="A81" s="23">
        <f>IF(INDEX(Fonds!$A$1:$A$1000,44)="","",INDEX(Fonds!$A$1:$A$1000,44))</f>
      </c>
      <c r="B81" s="23">
        <f>IF($A81="","",INDEX(Fonds!$B$1:$B$1000,44)&amp;"")</f>
      </c>
      <c r="C81" s="23">
        <f>IF($A81="","",INDEX(Fonds!$D$1:$D$1000,44)&amp;"")</f>
      </c>
      <c r="D81" s="25">
        <f>IF($A81="","",INDEX(Fonds!$E$1:$E$1000,44))</f>
      </c>
      <c r="E81" s="25">
        <f>IF($A81="","",SUMIFS(Cashflows!$D$5:$D$5000,Cashflows!$B$5:$B$5000,$A81,Cashflows!$C$5:$C$5000,"Abruf"))</f>
      </c>
      <c r="F81" s="25">
        <f>IF($A81="","",SUMIFS(Cashflows!$D$5:$D$5000,Cashflows!$B$5:$B$5000,$A81,Cashflows!$C$5:$C$5000,"Gebühr außerhalb der Zusage")+SUMIFS(Cashflows!$D$5:$D$5000,Cashflows!$B$5:$B$5000,$A81,Cashflows!$C$5:$C$5000,"Ausgleichszins"))</f>
      </c>
      <c r="G81" s="25">
        <f>IF($A81="","",SUMIFS(Cashflows!$D$5:$D$5000,Cashflows!$B$5:$B$5000,$A81,Cashflows!$C$5:$C$5000,"Ausschüttung"))</f>
      </c>
      <c r="H81" s="25">
        <f>IF($A81="","",SUMIFS(Cashflows!$E$5:$E$5000,Cashflows!$B$5:$B$5000,$A81,Cashflows!$C$5:$C$5000,"Ausschüttung"))</f>
      </c>
      <c r="I81" s="26">
        <f>IF($A81="","",D81-E81+H81)</f>
      </c>
      <c r="J81" s="25">
        <f>IF($A81="","",SUMIFS(Cashflows!$D$5:$D$5000,Cashflows!$B$5:$B$5000,$A81,Cashflows!$G$5:$G$5000,"Angekündigt",Cashflows!$C$5:$C$5000,"&lt;&gt;Ausschüttung"))</f>
      </c>
      <c r="K81" s="27">
        <f>IF($A81="","",IF(COUNTIFS(Cashflows!$B$5:$B$5000,$A81,Cashflows!$G$5:$G$5000,"Angekündigt",Cashflows!$C$5:$C$5000,"&lt;&gt;Ausschüttung",Cashflows!$F$5:$F$5000,"&gt;0")=0,"",MINIFS(Cashflows!$F$5:$F$5000,Cashflows!$B$5:$B$5000,$A81,Cashflows!$G$5:$G$5000,"Angekündigt",Cashflows!$C$5:$C$5000,"&lt;&gt;Ausschüttung",Cashflows!$F$5:$F$5000,"&gt;0")))</f>
      </c>
      <c r="L81" s="25">
        <f>IF($A81="","",I81+J81)</f>
      </c>
    </row>
    <row r="82" spans="1:12" x14ac:dyDescent="0.25">
      <c r="A82" s="23">
        <f>IF(INDEX(Fonds!$A$1:$A$1000,45)="","",INDEX(Fonds!$A$1:$A$1000,45))</f>
      </c>
      <c r="B82" s="23">
        <f>IF($A82="","",INDEX(Fonds!$B$1:$B$1000,45)&amp;"")</f>
      </c>
      <c r="C82" s="23">
        <f>IF($A82="","",INDEX(Fonds!$D$1:$D$1000,45)&amp;"")</f>
      </c>
      <c r="D82" s="25">
        <f>IF($A82="","",INDEX(Fonds!$E$1:$E$1000,45))</f>
      </c>
      <c r="E82" s="25">
        <f>IF($A82="","",SUMIFS(Cashflows!$D$5:$D$5000,Cashflows!$B$5:$B$5000,$A82,Cashflows!$C$5:$C$5000,"Abruf"))</f>
      </c>
      <c r="F82" s="25">
        <f>IF($A82="","",SUMIFS(Cashflows!$D$5:$D$5000,Cashflows!$B$5:$B$5000,$A82,Cashflows!$C$5:$C$5000,"Gebühr außerhalb der Zusage")+SUMIFS(Cashflows!$D$5:$D$5000,Cashflows!$B$5:$B$5000,$A82,Cashflows!$C$5:$C$5000,"Ausgleichszins"))</f>
      </c>
      <c r="G82" s="25">
        <f>IF($A82="","",SUMIFS(Cashflows!$D$5:$D$5000,Cashflows!$B$5:$B$5000,$A82,Cashflows!$C$5:$C$5000,"Ausschüttung"))</f>
      </c>
      <c r="H82" s="25">
        <f>IF($A82="","",SUMIFS(Cashflows!$E$5:$E$5000,Cashflows!$B$5:$B$5000,$A82,Cashflows!$C$5:$C$5000,"Ausschüttung"))</f>
      </c>
      <c r="I82" s="26">
        <f>IF($A82="","",D82-E82+H82)</f>
      </c>
      <c r="J82" s="25">
        <f>IF($A82="","",SUMIFS(Cashflows!$D$5:$D$5000,Cashflows!$B$5:$B$5000,$A82,Cashflows!$G$5:$G$5000,"Angekündigt",Cashflows!$C$5:$C$5000,"&lt;&gt;Ausschüttung"))</f>
      </c>
      <c r="K82" s="27">
        <f>IF($A82="","",IF(COUNTIFS(Cashflows!$B$5:$B$5000,$A82,Cashflows!$G$5:$G$5000,"Angekündigt",Cashflows!$C$5:$C$5000,"&lt;&gt;Ausschüttung",Cashflows!$F$5:$F$5000,"&gt;0")=0,"",MINIFS(Cashflows!$F$5:$F$5000,Cashflows!$B$5:$B$5000,$A82,Cashflows!$G$5:$G$5000,"Angekündigt",Cashflows!$C$5:$C$5000,"&lt;&gt;Ausschüttung",Cashflows!$F$5:$F$5000,"&gt;0")))</f>
      </c>
      <c r="L82" s="25">
        <f>IF($A82="","",I82+J82)</f>
      </c>
    </row>
    <row r="83" spans="1:12" x14ac:dyDescent="0.25">
      <c r="A83" s="23">
        <f>IF(INDEX(Fonds!$A$1:$A$1000,46)="","",INDEX(Fonds!$A$1:$A$1000,46))</f>
      </c>
      <c r="B83" s="23">
        <f>IF($A83="","",INDEX(Fonds!$B$1:$B$1000,46)&amp;"")</f>
      </c>
      <c r="C83" s="23">
        <f>IF($A83="","",INDEX(Fonds!$D$1:$D$1000,46)&amp;"")</f>
      </c>
      <c r="D83" s="25">
        <f>IF($A83="","",INDEX(Fonds!$E$1:$E$1000,46))</f>
      </c>
      <c r="E83" s="25">
        <f>IF($A83="","",SUMIFS(Cashflows!$D$5:$D$5000,Cashflows!$B$5:$B$5000,$A83,Cashflows!$C$5:$C$5000,"Abruf"))</f>
      </c>
      <c r="F83" s="25">
        <f>IF($A83="","",SUMIFS(Cashflows!$D$5:$D$5000,Cashflows!$B$5:$B$5000,$A83,Cashflows!$C$5:$C$5000,"Gebühr außerhalb der Zusage")+SUMIFS(Cashflows!$D$5:$D$5000,Cashflows!$B$5:$B$5000,$A83,Cashflows!$C$5:$C$5000,"Ausgleichszins"))</f>
      </c>
      <c r="G83" s="25">
        <f>IF($A83="","",SUMIFS(Cashflows!$D$5:$D$5000,Cashflows!$B$5:$B$5000,$A83,Cashflows!$C$5:$C$5000,"Ausschüttung"))</f>
      </c>
      <c r="H83" s="25">
        <f>IF($A83="","",SUMIFS(Cashflows!$E$5:$E$5000,Cashflows!$B$5:$B$5000,$A83,Cashflows!$C$5:$C$5000,"Ausschüttung"))</f>
      </c>
      <c r="I83" s="26">
        <f>IF($A83="","",D83-E83+H83)</f>
      </c>
      <c r="J83" s="25">
        <f>IF($A83="","",SUMIFS(Cashflows!$D$5:$D$5000,Cashflows!$B$5:$B$5000,$A83,Cashflows!$G$5:$G$5000,"Angekündigt",Cashflows!$C$5:$C$5000,"&lt;&gt;Ausschüttung"))</f>
      </c>
      <c r="K83" s="27">
        <f>IF($A83="","",IF(COUNTIFS(Cashflows!$B$5:$B$5000,$A83,Cashflows!$G$5:$G$5000,"Angekündigt",Cashflows!$C$5:$C$5000,"&lt;&gt;Ausschüttung",Cashflows!$F$5:$F$5000,"&gt;0")=0,"",MINIFS(Cashflows!$F$5:$F$5000,Cashflows!$B$5:$B$5000,$A83,Cashflows!$G$5:$G$5000,"Angekündigt",Cashflows!$C$5:$C$5000,"&lt;&gt;Ausschüttung",Cashflows!$F$5:$F$5000,"&gt;0")))</f>
      </c>
      <c r="L83" s="25">
        <f>IF($A83="","",I83+J83)</f>
      </c>
    </row>
    <row r="84" spans="1:12" x14ac:dyDescent="0.25">
      <c r="A84" s="23">
        <f>IF(INDEX(Fonds!$A$1:$A$1000,47)="","",INDEX(Fonds!$A$1:$A$1000,47))</f>
      </c>
      <c r="B84" s="23">
        <f>IF($A84="","",INDEX(Fonds!$B$1:$B$1000,47)&amp;"")</f>
      </c>
      <c r="C84" s="23">
        <f>IF($A84="","",INDEX(Fonds!$D$1:$D$1000,47)&amp;"")</f>
      </c>
      <c r="D84" s="25">
        <f>IF($A84="","",INDEX(Fonds!$E$1:$E$1000,47))</f>
      </c>
      <c r="E84" s="25">
        <f>IF($A84="","",SUMIFS(Cashflows!$D$5:$D$5000,Cashflows!$B$5:$B$5000,$A84,Cashflows!$C$5:$C$5000,"Abruf"))</f>
      </c>
      <c r="F84" s="25">
        <f>IF($A84="","",SUMIFS(Cashflows!$D$5:$D$5000,Cashflows!$B$5:$B$5000,$A84,Cashflows!$C$5:$C$5000,"Gebühr außerhalb der Zusage")+SUMIFS(Cashflows!$D$5:$D$5000,Cashflows!$B$5:$B$5000,$A84,Cashflows!$C$5:$C$5000,"Ausgleichszins"))</f>
      </c>
      <c r="G84" s="25">
        <f>IF($A84="","",SUMIFS(Cashflows!$D$5:$D$5000,Cashflows!$B$5:$B$5000,$A84,Cashflows!$C$5:$C$5000,"Ausschüttung"))</f>
      </c>
      <c r="H84" s="25">
        <f>IF($A84="","",SUMIFS(Cashflows!$E$5:$E$5000,Cashflows!$B$5:$B$5000,$A84,Cashflows!$C$5:$C$5000,"Ausschüttung"))</f>
      </c>
      <c r="I84" s="26">
        <f>IF($A84="","",D84-E84+H84)</f>
      </c>
      <c r="J84" s="25">
        <f>IF($A84="","",SUMIFS(Cashflows!$D$5:$D$5000,Cashflows!$B$5:$B$5000,$A84,Cashflows!$G$5:$G$5000,"Angekündigt",Cashflows!$C$5:$C$5000,"&lt;&gt;Ausschüttung"))</f>
      </c>
      <c r="K84" s="27">
        <f>IF($A84="","",IF(COUNTIFS(Cashflows!$B$5:$B$5000,$A84,Cashflows!$G$5:$G$5000,"Angekündigt",Cashflows!$C$5:$C$5000,"&lt;&gt;Ausschüttung",Cashflows!$F$5:$F$5000,"&gt;0")=0,"",MINIFS(Cashflows!$F$5:$F$5000,Cashflows!$B$5:$B$5000,$A84,Cashflows!$G$5:$G$5000,"Angekündigt",Cashflows!$C$5:$C$5000,"&lt;&gt;Ausschüttung",Cashflows!$F$5:$F$5000,"&gt;0")))</f>
      </c>
      <c r="L84" s="25">
        <f>IF($A84="","",I84+J84)</f>
      </c>
    </row>
    <row r="85" spans="1:12" x14ac:dyDescent="0.25">
      <c r="A85" s="23">
        <f>IF(INDEX(Fonds!$A$1:$A$1000,48)="","",INDEX(Fonds!$A$1:$A$1000,48))</f>
      </c>
      <c r="B85" s="23">
        <f>IF($A85="","",INDEX(Fonds!$B$1:$B$1000,48)&amp;"")</f>
      </c>
      <c r="C85" s="23">
        <f>IF($A85="","",INDEX(Fonds!$D$1:$D$1000,48)&amp;"")</f>
      </c>
      <c r="D85" s="25">
        <f>IF($A85="","",INDEX(Fonds!$E$1:$E$1000,48))</f>
      </c>
      <c r="E85" s="25">
        <f>IF($A85="","",SUMIFS(Cashflows!$D$5:$D$5000,Cashflows!$B$5:$B$5000,$A85,Cashflows!$C$5:$C$5000,"Abruf"))</f>
      </c>
      <c r="F85" s="25">
        <f>IF($A85="","",SUMIFS(Cashflows!$D$5:$D$5000,Cashflows!$B$5:$B$5000,$A85,Cashflows!$C$5:$C$5000,"Gebühr außerhalb der Zusage")+SUMIFS(Cashflows!$D$5:$D$5000,Cashflows!$B$5:$B$5000,$A85,Cashflows!$C$5:$C$5000,"Ausgleichszins"))</f>
      </c>
      <c r="G85" s="25">
        <f>IF($A85="","",SUMIFS(Cashflows!$D$5:$D$5000,Cashflows!$B$5:$B$5000,$A85,Cashflows!$C$5:$C$5000,"Ausschüttung"))</f>
      </c>
      <c r="H85" s="25">
        <f>IF($A85="","",SUMIFS(Cashflows!$E$5:$E$5000,Cashflows!$B$5:$B$5000,$A85,Cashflows!$C$5:$C$5000,"Ausschüttung"))</f>
      </c>
      <c r="I85" s="26">
        <f>IF($A85="","",D85-E85+H85)</f>
      </c>
      <c r="J85" s="25">
        <f>IF($A85="","",SUMIFS(Cashflows!$D$5:$D$5000,Cashflows!$B$5:$B$5000,$A85,Cashflows!$G$5:$G$5000,"Angekündigt",Cashflows!$C$5:$C$5000,"&lt;&gt;Ausschüttung"))</f>
      </c>
      <c r="K85" s="27">
        <f>IF($A85="","",IF(COUNTIFS(Cashflows!$B$5:$B$5000,$A85,Cashflows!$G$5:$G$5000,"Angekündigt",Cashflows!$C$5:$C$5000,"&lt;&gt;Ausschüttung",Cashflows!$F$5:$F$5000,"&gt;0")=0,"",MINIFS(Cashflows!$F$5:$F$5000,Cashflows!$B$5:$B$5000,$A85,Cashflows!$G$5:$G$5000,"Angekündigt",Cashflows!$C$5:$C$5000,"&lt;&gt;Ausschüttung",Cashflows!$F$5:$F$5000,"&gt;0")))</f>
      </c>
      <c r="L85" s="25">
        <f>IF($A85="","",I85+J85)</f>
      </c>
    </row>
    <row r="86" spans="1:12" x14ac:dyDescent="0.25">
      <c r="A86" s="23">
        <f>IF(INDEX(Fonds!$A$1:$A$1000,49)="","",INDEX(Fonds!$A$1:$A$1000,49))</f>
      </c>
      <c r="B86" s="23">
        <f>IF($A86="","",INDEX(Fonds!$B$1:$B$1000,49)&amp;"")</f>
      </c>
      <c r="C86" s="23">
        <f>IF($A86="","",INDEX(Fonds!$D$1:$D$1000,49)&amp;"")</f>
      </c>
      <c r="D86" s="25">
        <f>IF($A86="","",INDEX(Fonds!$E$1:$E$1000,49))</f>
      </c>
      <c r="E86" s="25">
        <f>IF($A86="","",SUMIFS(Cashflows!$D$5:$D$5000,Cashflows!$B$5:$B$5000,$A86,Cashflows!$C$5:$C$5000,"Abruf"))</f>
      </c>
      <c r="F86" s="25">
        <f>IF($A86="","",SUMIFS(Cashflows!$D$5:$D$5000,Cashflows!$B$5:$B$5000,$A86,Cashflows!$C$5:$C$5000,"Gebühr außerhalb der Zusage")+SUMIFS(Cashflows!$D$5:$D$5000,Cashflows!$B$5:$B$5000,$A86,Cashflows!$C$5:$C$5000,"Ausgleichszins"))</f>
      </c>
      <c r="G86" s="25">
        <f>IF($A86="","",SUMIFS(Cashflows!$D$5:$D$5000,Cashflows!$B$5:$B$5000,$A86,Cashflows!$C$5:$C$5000,"Ausschüttung"))</f>
      </c>
      <c r="H86" s="25">
        <f>IF($A86="","",SUMIFS(Cashflows!$E$5:$E$5000,Cashflows!$B$5:$B$5000,$A86,Cashflows!$C$5:$C$5000,"Ausschüttung"))</f>
      </c>
      <c r="I86" s="26">
        <f>IF($A86="","",D86-E86+H86)</f>
      </c>
      <c r="J86" s="25">
        <f>IF($A86="","",SUMIFS(Cashflows!$D$5:$D$5000,Cashflows!$B$5:$B$5000,$A86,Cashflows!$G$5:$G$5000,"Angekündigt",Cashflows!$C$5:$C$5000,"&lt;&gt;Ausschüttung"))</f>
      </c>
      <c r="K86" s="27">
        <f>IF($A86="","",IF(COUNTIFS(Cashflows!$B$5:$B$5000,$A86,Cashflows!$G$5:$G$5000,"Angekündigt",Cashflows!$C$5:$C$5000,"&lt;&gt;Ausschüttung",Cashflows!$F$5:$F$5000,"&gt;0")=0,"",MINIFS(Cashflows!$F$5:$F$5000,Cashflows!$B$5:$B$5000,$A86,Cashflows!$G$5:$G$5000,"Angekündigt",Cashflows!$C$5:$C$5000,"&lt;&gt;Ausschüttung",Cashflows!$F$5:$F$5000,"&gt;0")))</f>
      </c>
      <c r="L86" s="25">
        <f>IF($A86="","",I86+J86)</f>
      </c>
    </row>
    <row r="87" spans="1:12" x14ac:dyDescent="0.25">
      <c r="A87" s="23">
        <f>IF(INDEX(Fonds!$A$1:$A$1000,50)="","",INDEX(Fonds!$A$1:$A$1000,50))</f>
      </c>
      <c r="B87" s="23">
        <f>IF($A87="","",INDEX(Fonds!$B$1:$B$1000,50)&amp;"")</f>
      </c>
      <c r="C87" s="23">
        <f>IF($A87="","",INDEX(Fonds!$D$1:$D$1000,50)&amp;"")</f>
      </c>
      <c r="D87" s="25">
        <f>IF($A87="","",INDEX(Fonds!$E$1:$E$1000,50))</f>
      </c>
      <c r="E87" s="25">
        <f>IF($A87="","",SUMIFS(Cashflows!$D$5:$D$5000,Cashflows!$B$5:$B$5000,$A87,Cashflows!$C$5:$C$5000,"Abruf"))</f>
      </c>
      <c r="F87" s="25">
        <f>IF($A87="","",SUMIFS(Cashflows!$D$5:$D$5000,Cashflows!$B$5:$B$5000,$A87,Cashflows!$C$5:$C$5000,"Gebühr außerhalb der Zusage")+SUMIFS(Cashflows!$D$5:$D$5000,Cashflows!$B$5:$B$5000,$A87,Cashflows!$C$5:$C$5000,"Ausgleichszins"))</f>
      </c>
      <c r="G87" s="25">
        <f>IF($A87="","",SUMIFS(Cashflows!$D$5:$D$5000,Cashflows!$B$5:$B$5000,$A87,Cashflows!$C$5:$C$5000,"Ausschüttung"))</f>
      </c>
      <c r="H87" s="25">
        <f>IF($A87="","",SUMIFS(Cashflows!$E$5:$E$5000,Cashflows!$B$5:$B$5000,$A87,Cashflows!$C$5:$C$5000,"Ausschüttung"))</f>
      </c>
      <c r="I87" s="26">
        <f>IF($A87="","",D87-E87+H87)</f>
      </c>
      <c r="J87" s="25">
        <f>IF($A87="","",SUMIFS(Cashflows!$D$5:$D$5000,Cashflows!$B$5:$B$5000,$A87,Cashflows!$G$5:$G$5000,"Angekündigt",Cashflows!$C$5:$C$5000,"&lt;&gt;Ausschüttung"))</f>
      </c>
      <c r="K87" s="27">
        <f>IF($A87="","",IF(COUNTIFS(Cashflows!$B$5:$B$5000,$A87,Cashflows!$G$5:$G$5000,"Angekündigt",Cashflows!$C$5:$C$5000,"&lt;&gt;Ausschüttung",Cashflows!$F$5:$F$5000,"&gt;0")=0,"",MINIFS(Cashflows!$F$5:$F$5000,Cashflows!$B$5:$B$5000,$A87,Cashflows!$G$5:$G$5000,"Angekündigt",Cashflows!$C$5:$C$5000,"&lt;&gt;Ausschüttung",Cashflows!$F$5:$F$5000,"&gt;0")))</f>
      </c>
      <c r="L87" s="25">
        <f>IF($A87="","",I87+J87)</f>
      </c>
    </row>
    <row r="88" spans="1:12" x14ac:dyDescent="0.25">
      <c r="A88" s="23">
        <f>IF(INDEX(Fonds!$A$1:$A$1000,51)="","",INDEX(Fonds!$A$1:$A$1000,51))</f>
      </c>
      <c r="B88" s="23">
        <f>IF($A88="","",INDEX(Fonds!$B$1:$B$1000,51)&amp;"")</f>
      </c>
      <c r="C88" s="23">
        <f>IF($A88="","",INDEX(Fonds!$D$1:$D$1000,51)&amp;"")</f>
      </c>
      <c r="D88" s="25">
        <f>IF($A88="","",INDEX(Fonds!$E$1:$E$1000,51))</f>
      </c>
      <c r="E88" s="25">
        <f>IF($A88="","",SUMIFS(Cashflows!$D$5:$D$5000,Cashflows!$B$5:$B$5000,$A88,Cashflows!$C$5:$C$5000,"Abruf"))</f>
      </c>
      <c r="F88" s="25">
        <f>IF($A88="","",SUMIFS(Cashflows!$D$5:$D$5000,Cashflows!$B$5:$B$5000,$A88,Cashflows!$C$5:$C$5000,"Gebühr außerhalb der Zusage")+SUMIFS(Cashflows!$D$5:$D$5000,Cashflows!$B$5:$B$5000,$A88,Cashflows!$C$5:$C$5000,"Ausgleichszins"))</f>
      </c>
      <c r="G88" s="25">
        <f>IF($A88="","",SUMIFS(Cashflows!$D$5:$D$5000,Cashflows!$B$5:$B$5000,$A88,Cashflows!$C$5:$C$5000,"Ausschüttung"))</f>
      </c>
      <c r="H88" s="25">
        <f>IF($A88="","",SUMIFS(Cashflows!$E$5:$E$5000,Cashflows!$B$5:$B$5000,$A88,Cashflows!$C$5:$C$5000,"Ausschüttung"))</f>
      </c>
      <c r="I88" s="26">
        <f>IF($A88="","",D88-E88+H88)</f>
      </c>
      <c r="J88" s="25">
        <f>IF($A88="","",SUMIFS(Cashflows!$D$5:$D$5000,Cashflows!$B$5:$B$5000,$A88,Cashflows!$G$5:$G$5000,"Angekündigt",Cashflows!$C$5:$C$5000,"&lt;&gt;Ausschüttung"))</f>
      </c>
      <c r="K88" s="27">
        <f>IF($A88="","",IF(COUNTIFS(Cashflows!$B$5:$B$5000,$A88,Cashflows!$G$5:$G$5000,"Angekündigt",Cashflows!$C$5:$C$5000,"&lt;&gt;Ausschüttung",Cashflows!$F$5:$F$5000,"&gt;0")=0,"",MINIFS(Cashflows!$F$5:$F$5000,Cashflows!$B$5:$B$5000,$A88,Cashflows!$G$5:$G$5000,"Angekündigt",Cashflows!$C$5:$C$5000,"&lt;&gt;Ausschüttung",Cashflows!$F$5:$F$5000,"&gt;0")))</f>
      </c>
      <c r="L88" s="25">
        <f>IF($A88="","",I88+J88)</f>
      </c>
    </row>
    <row r="89" spans="1:12" x14ac:dyDescent="0.25">
      <c r="A89" s="23">
        <f>IF(INDEX(Fonds!$A$1:$A$1000,52)="","",INDEX(Fonds!$A$1:$A$1000,52))</f>
      </c>
      <c r="B89" s="23">
        <f>IF($A89="","",INDEX(Fonds!$B$1:$B$1000,52)&amp;"")</f>
      </c>
      <c r="C89" s="23">
        <f>IF($A89="","",INDEX(Fonds!$D$1:$D$1000,52)&amp;"")</f>
      </c>
      <c r="D89" s="25">
        <f>IF($A89="","",INDEX(Fonds!$E$1:$E$1000,52))</f>
      </c>
      <c r="E89" s="25">
        <f>IF($A89="","",SUMIFS(Cashflows!$D$5:$D$5000,Cashflows!$B$5:$B$5000,$A89,Cashflows!$C$5:$C$5000,"Abruf"))</f>
      </c>
      <c r="F89" s="25">
        <f>IF($A89="","",SUMIFS(Cashflows!$D$5:$D$5000,Cashflows!$B$5:$B$5000,$A89,Cashflows!$C$5:$C$5000,"Gebühr außerhalb der Zusage")+SUMIFS(Cashflows!$D$5:$D$5000,Cashflows!$B$5:$B$5000,$A89,Cashflows!$C$5:$C$5000,"Ausgleichszins"))</f>
      </c>
      <c r="G89" s="25">
        <f>IF($A89="","",SUMIFS(Cashflows!$D$5:$D$5000,Cashflows!$B$5:$B$5000,$A89,Cashflows!$C$5:$C$5000,"Ausschüttung"))</f>
      </c>
      <c r="H89" s="25">
        <f>IF($A89="","",SUMIFS(Cashflows!$E$5:$E$5000,Cashflows!$B$5:$B$5000,$A89,Cashflows!$C$5:$C$5000,"Ausschüttung"))</f>
      </c>
      <c r="I89" s="26">
        <f>IF($A89="","",D89-E89+H89)</f>
      </c>
      <c r="J89" s="25">
        <f>IF($A89="","",SUMIFS(Cashflows!$D$5:$D$5000,Cashflows!$B$5:$B$5000,$A89,Cashflows!$G$5:$G$5000,"Angekündigt",Cashflows!$C$5:$C$5000,"&lt;&gt;Ausschüttung"))</f>
      </c>
      <c r="K89" s="27">
        <f>IF($A89="","",IF(COUNTIFS(Cashflows!$B$5:$B$5000,$A89,Cashflows!$G$5:$G$5000,"Angekündigt",Cashflows!$C$5:$C$5000,"&lt;&gt;Ausschüttung",Cashflows!$F$5:$F$5000,"&gt;0")=0,"",MINIFS(Cashflows!$F$5:$F$5000,Cashflows!$B$5:$B$5000,$A89,Cashflows!$G$5:$G$5000,"Angekündigt",Cashflows!$C$5:$C$5000,"&lt;&gt;Ausschüttung",Cashflows!$F$5:$F$5000,"&gt;0")))</f>
      </c>
      <c r="L89" s="25">
        <f>IF($A89="","",I89+J89)</f>
      </c>
    </row>
    <row r="90" spans="1:12" x14ac:dyDescent="0.25">
      <c r="A90" s="23">
        <f>IF(INDEX(Fonds!$A$1:$A$1000,53)="","",INDEX(Fonds!$A$1:$A$1000,53))</f>
      </c>
      <c r="B90" s="23">
        <f>IF($A90="","",INDEX(Fonds!$B$1:$B$1000,53)&amp;"")</f>
      </c>
      <c r="C90" s="23">
        <f>IF($A90="","",INDEX(Fonds!$D$1:$D$1000,53)&amp;"")</f>
      </c>
      <c r="D90" s="25">
        <f>IF($A90="","",INDEX(Fonds!$E$1:$E$1000,53))</f>
      </c>
      <c r="E90" s="25">
        <f>IF($A90="","",SUMIFS(Cashflows!$D$5:$D$5000,Cashflows!$B$5:$B$5000,$A90,Cashflows!$C$5:$C$5000,"Abruf"))</f>
      </c>
      <c r="F90" s="25">
        <f>IF($A90="","",SUMIFS(Cashflows!$D$5:$D$5000,Cashflows!$B$5:$B$5000,$A90,Cashflows!$C$5:$C$5000,"Gebühr außerhalb der Zusage")+SUMIFS(Cashflows!$D$5:$D$5000,Cashflows!$B$5:$B$5000,$A90,Cashflows!$C$5:$C$5000,"Ausgleichszins"))</f>
      </c>
      <c r="G90" s="25">
        <f>IF($A90="","",SUMIFS(Cashflows!$D$5:$D$5000,Cashflows!$B$5:$B$5000,$A90,Cashflows!$C$5:$C$5000,"Ausschüttung"))</f>
      </c>
      <c r="H90" s="25">
        <f>IF($A90="","",SUMIFS(Cashflows!$E$5:$E$5000,Cashflows!$B$5:$B$5000,$A90,Cashflows!$C$5:$C$5000,"Ausschüttung"))</f>
      </c>
      <c r="I90" s="26">
        <f>IF($A90="","",D90-E90+H90)</f>
      </c>
      <c r="J90" s="25">
        <f>IF($A90="","",SUMIFS(Cashflows!$D$5:$D$5000,Cashflows!$B$5:$B$5000,$A90,Cashflows!$G$5:$G$5000,"Angekündigt",Cashflows!$C$5:$C$5000,"&lt;&gt;Ausschüttung"))</f>
      </c>
      <c r="K90" s="27">
        <f>IF($A90="","",IF(COUNTIFS(Cashflows!$B$5:$B$5000,$A90,Cashflows!$G$5:$G$5000,"Angekündigt",Cashflows!$C$5:$C$5000,"&lt;&gt;Ausschüttung",Cashflows!$F$5:$F$5000,"&gt;0")=0,"",MINIFS(Cashflows!$F$5:$F$5000,Cashflows!$B$5:$B$5000,$A90,Cashflows!$G$5:$G$5000,"Angekündigt",Cashflows!$C$5:$C$5000,"&lt;&gt;Ausschüttung",Cashflows!$F$5:$F$5000,"&gt;0")))</f>
      </c>
      <c r="L90" s="25">
        <f>IF($A90="","",I90+J90)</f>
      </c>
    </row>
    <row r="91" spans="1:12" x14ac:dyDescent="0.25">
      <c r="A91" s="23">
        <f>IF(INDEX(Fonds!$A$1:$A$1000,54)="","",INDEX(Fonds!$A$1:$A$1000,54))</f>
      </c>
      <c r="B91" s="23">
        <f>IF($A91="","",INDEX(Fonds!$B$1:$B$1000,54)&amp;"")</f>
      </c>
      <c r="C91" s="23">
        <f>IF($A91="","",INDEX(Fonds!$D$1:$D$1000,54)&amp;"")</f>
      </c>
      <c r="D91" s="25">
        <f>IF($A91="","",INDEX(Fonds!$E$1:$E$1000,54))</f>
      </c>
      <c r="E91" s="25">
        <f>IF($A91="","",SUMIFS(Cashflows!$D$5:$D$5000,Cashflows!$B$5:$B$5000,$A91,Cashflows!$C$5:$C$5000,"Abruf"))</f>
      </c>
      <c r="F91" s="25">
        <f>IF($A91="","",SUMIFS(Cashflows!$D$5:$D$5000,Cashflows!$B$5:$B$5000,$A91,Cashflows!$C$5:$C$5000,"Gebühr außerhalb der Zusage")+SUMIFS(Cashflows!$D$5:$D$5000,Cashflows!$B$5:$B$5000,$A91,Cashflows!$C$5:$C$5000,"Ausgleichszins"))</f>
      </c>
      <c r="G91" s="25">
        <f>IF($A91="","",SUMIFS(Cashflows!$D$5:$D$5000,Cashflows!$B$5:$B$5000,$A91,Cashflows!$C$5:$C$5000,"Ausschüttung"))</f>
      </c>
      <c r="H91" s="25">
        <f>IF($A91="","",SUMIFS(Cashflows!$E$5:$E$5000,Cashflows!$B$5:$B$5000,$A91,Cashflows!$C$5:$C$5000,"Ausschüttung"))</f>
      </c>
      <c r="I91" s="26">
        <f>IF($A91="","",D91-E91+H91)</f>
      </c>
      <c r="J91" s="25">
        <f>IF($A91="","",SUMIFS(Cashflows!$D$5:$D$5000,Cashflows!$B$5:$B$5000,$A91,Cashflows!$G$5:$G$5000,"Angekündigt",Cashflows!$C$5:$C$5000,"&lt;&gt;Ausschüttung"))</f>
      </c>
      <c r="K91" s="27">
        <f>IF($A91="","",IF(COUNTIFS(Cashflows!$B$5:$B$5000,$A91,Cashflows!$G$5:$G$5000,"Angekündigt",Cashflows!$C$5:$C$5000,"&lt;&gt;Ausschüttung",Cashflows!$F$5:$F$5000,"&gt;0")=0,"",MINIFS(Cashflows!$F$5:$F$5000,Cashflows!$B$5:$B$5000,$A91,Cashflows!$G$5:$G$5000,"Angekündigt",Cashflows!$C$5:$C$5000,"&lt;&gt;Ausschüttung",Cashflows!$F$5:$F$5000,"&gt;0")))</f>
      </c>
      <c r="L91" s="25">
        <f>IF($A91="","",I91+J91)</f>
      </c>
    </row>
    <row r="92" spans="1:12" x14ac:dyDescent="0.25">
      <c r="A92" s="23">
        <f>IF(INDEX(Fonds!$A$1:$A$1000,55)="","",INDEX(Fonds!$A$1:$A$1000,55))</f>
      </c>
      <c r="B92" s="23">
        <f>IF($A92="","",INDEX(Fonds!$B$1:$B$1000,55)&amp;"")</f>
      </c>
      <c r="C92" s="23">
        <f>IF($A92="","",INDEX(Fonds!$D$1:$D$1000,55)&amp;"")</f>
      </c>
      <c r="D92" s="25">
        <f>IF($A92="","",INDEX(Fonds!$E$1:$E$1000,55))</f>
      </c>
      <c r="E92" s="25">
        <f>IF($A92="","",SUMIFS(Cashflows!$D$5:$D$5000,Cashflows!$B$5:$B$5000,$A92,Cashflows!$C$5:$C$5000,"Abruf"))</f>
      </c>
      <c r="F92" s="25">
        <f>IF($A92="","",SUMIFS(Cashflows!$D$5:$D$5000,Cashflows!$B$5:$B$5000,$A92,Cashflows!$C$5:$C$5000,"Gebühr außerhalb der Zusage")+SUMIFS(Cashflows!$D$5:$D$5000,Cashflows!$B$5:$B$5000,$A92,Cashflows!$C$5:$C$5000,"Ausgleichszins"))</f>
      </c>
      <c r="G92" s="25">
        <f>IF($A92="","",SUMIFS(Cashflows!$D$5:$D$5000,Cashflows!$B$5:$B$5000,$A92,Cashflows!$C$5:$C$5000,"Ausschüttung"))</f>
      </c>
      <c r="H92" s="25">
        <f>IF($A92="","",SUMIFS(Cashflows!$E$5:$E$5000,Cashflows!$B$5:$B$5000,$A92,Cashflows!$C$5:$C$5000,"Ausschüttung"))</f>
      </c>
      <c r="I92" s="26">
        <f>IF($A92="","",D92-E92+H92)</f>
      </c>
      <c r="J92" s="25">
        <f>IF($A92="","",SUMIFS(Cashflows!$D$5:$D$5000,Cashflows!$B$5:$B$5000,$A92,Cashflows!$G$5:$G$5000,"Angekündigt",Cashflows!$C$5:$C$5000,"&lt;&gt;Ausschüttung"))</f>
      </c>
      <c r="K92" s="27">
        <f>IF($A92="","",IF(COUNTIFS(Cashflows!$B$5:$B$5000,$A92,Cashflows!$G$5:$G$5000,"Angekündigt",Cashflows!$C$5:$C$5000,"&lt;&gt;Ausschüttung",Cashflows!$F$5:$F$5000,"&gt;0")=0,"",MINIFS(Cashflows!$F$5:$F$5000,Cashflows!$B$5:$B$5000,$A92,Cashflows!$G$5:$G$5000,"Angekündigt",Cashflows!$C$5:$C$5000,"&lt;&gt;Ausschüttung",Cashflows!$F$5:$F$5000,"&gt;0")))</f>
      </c>
      <c r="L92" s="25">
        <f>IF($A92="","",I92+J92)</f>
      </c>
    </row>
    <row r="93" spans="1:12" x14ac:dyDescent="0.25">
      <c r="A93" s="23">
        <f>IF(INDEX(Fonds!$A$1:$A$1000,56)="","",INDEX(Fonds!$A$1:$A$1000,56))</f>
      </c>
      <c r="B93" s="23">
        <f>IF($A93="","",INDEX(Fonds!$B$1:$B$1000,56)&amp;"")</f>
      </c>
      <c r="C93" s="23">
        <f>IF($A93="","",INDEX(Fonds!$D$1:$D$1000,56)&amp;"")</f>
      </c>
      <c r="D93" s="25">
        <f>IF($A93="","",INDEX(Fonds!$E$1:$E$1000,56))</f>
      </c>
      <c r="E93" s="25">
        <f>IF($A93="","",SUMIFS(Cashflows!$D$5:$D$5000,Cashflows!$B$5:$B$5000,$A93,Cashflows!$C$5:$C$5000,"Abruf"))</f>
      </c>
      <c r="F93" s="25">
        <f>IF($A93="","",SUMIFS(Cashflows!$D$5:$D$5000,Cashflows!$B$5:$B$5000,$A93,Cashflows!$C$5:$C$5000,"Gebühr außerhalb der Zusage")+SUMIFS(Cashflows!$D$5:$D$5000,Cashflows!$B$5:$B$5000,$A93,Cashflows!$C$5:$C$5000,"Ausgleichszins"))</f>
      </c>
      <c r="G93" s="25">
        <f>IF($A93="","",SUMIFS(Cashflows!$D$5:$D$5000,Cashflows!$B$5:$B$5000,$A93,Cashflows!$C$5:$C$5000,"Ausschüttung"))</f>
      </c>
      <c r="H93" s="25">
        <f>IF($A93="","",SUMIFS(Cashflows!$E$5:$E$5000,Cashflows!$B$5:$B$5000,$A93,Cashflows!$C$5:$C$5000,"Ausschüttung"))</f>
      </c>
      <c r="I93" s="26">
        <f>IF($A93="","",D93-E93+H93)</f>
      </c>
      <c r="J93" s="25">
        <f>IF($A93="","",SUMIFS(Cashflows!$D$5:$D$5000,Cashflows!$B$5:$B$5000,$A93,Cashflows!$G$5:$G$5000,"Angekündigt",Cashflows!$C$5:$C$5000,"&lt;&gt;Ausschüttung"))</f>
      </c>
      <c r="K93" s="27">
        <f>IF($A93="","",IF(COUNTIFS(Cashflows!$B$5:$B$5000,$A93,Cashflows!$G$5:$G$5000,"Angekündigt",Cashflows!$C$5:$C$5000,"&lt;&gt;Ausschüttung",Cashflows!$F$5:$F$5000,"&gt;0")=0,"",MINIFS(Cashflows!$F$5:$F$5000,Cashflows!$B$5:$B$5000,$A93,Cashflows!$G$5:$G$5000,"Angekündigt",Cashflows!$C$5:$C$5000,"&lt;&gt;Ausschüttung",Cashflows!$F$5:$F$5000,"&gt;0")))</f>
      </c>
      <c r="L93" s="25">
        <f>IF($A93="","",I93+J93)</f>
      </c>
    </row>
    <row r="94" spans="1:12" x14ac:dyDescent="0.25">
      <c r="A94" s="23">
        <f>IF(INDEX(Fonds!$A$1:$A$1000,57)="","",INDEX(Fonds!$A$1:$A$1000,57))</f>
      </c>
      <c r="B94" s="23">
        <f>IF($A94="","",INDEX(Fonds!$B$1:$B$1000,57)&amp;"")</f>
      </c>
      <c r="C94" s="23">
        <f>IF($A94="","",INDEX(Fonds!$D$1:$D$1000,57)&amp;"")</f>
      </c>
      <c r="D94" s="25">
        <f>IF($A94="","",INDEX(Fonds!$E$1:$E$1000,57))</f>
      </c>
      <c r="E94" s="25">
        <f>IF($A94="","",SUMIFS(Cashflows!$D$5:$D$5000,Cashflows!$B$5:$B$5000,$A94,Cashflows!$C$5:$C$5000,"Abruf"))</f>
      </c>
      <c r="F94" s="25">
        <f>IF($A94="","",SUMIFS(Cashflows!$D$5:$D$5000,Cashflows!$B$5:$B$5000,$A94,Cashflows!$C$5:$C$5000,"Gebühr außerhalb der Zusage")+SUMIFS(Cashflows!$D$5:$D$5000,Cashflows!$B$5:$B$5000,$A94,Cashflows!$C$5:$C$5000,"Ausgleichszins"))</f>
      </c>
      <c r="G94" s="25">
        <f>IF($A94="","",SUMIFS(Cashflows!$D$5:$D$5000,Cashflows!$B$5:$B$5000,$A94,Cashflows!$C$5:$C$5000,"Ausschüttung"))</f>
      </c>
      <c r="H94" s="25">
        <f>IF($A94="","",SUMIFS(Cashflows!$E$5:$E$5000,Cashflows!$B$5:$B$5000,$A94,Cashflows!$C$5:$C$5000,"Ausschüttung"))</f>
      </c>
      <c r="I94" s="26">
        <f>IF($A94="","",D94-E94+H94)</f>
      </c>
      <c r="J94" s="25">
        <f>IF($A94="","",SUMIFS(Cashflows!$D$5:$D$5000,Cashflows!$B$5:$B$5000,$A94,Cashflows!$G$5:$G$5000,"Angekündigt",Cashflows!$C$5:$C$5000,"&lt;&gt;Ausschüttung"))</f>
      </c>
      <c r="K94" s="27">
        <f>IF($A94="","",IF(COUNTIFS(Cashflows!$B$5:$B$5000,$A94,Cashflows!$G$5:$G$5000,"Angekündigt",Cashflows!$C$5:$C$5000,"&lt;&gt;Ausschüttung",Cashflows!$F$5:$F$5000,"&gt;0")=0,"",MINIFS(Cashflows!$F$5:$F$5000,Cashflows!$B$5:$B$5000,$A94,Cashflows!$G$5:$G$5000,"Angekündigt",Cashflows!$C$5:$C$5000,"&lt;&gt;Ausschüttung",Cashflows!$F$5:$F$5000,"&gt;0")))</f>
      </c>
      <c r="L94" s="25">
        <f>IF($A94="","",I94+J94)</f>
      </c>
    </row>
    <row r="95" spans="1:12" x14ac:dyDescent="0.25">
      <c r="A95" s="23">
        <f>IF(INDEX(Fonds!$A$1:$A$1000,58)="","",INDEX(Fonds!$A$1:$A$1000,58))</f>
      </c>
      <c r="B95" s="23">
        <f>IF($A95="","",INDEX(Fonds!$B$1:$B$1000,58)&amp;"")</f>
      </c>
      <c r="C95" s="23">
        <f>IF($A95="","",INDEX(Fonds!$D$1:$D$1000,58)&amp;"")</f>
      </c>
      <c r="D95" s="25">
        <f>IF($A95="","",INDEX(Fonds!$E$1:$E$1000,58))</f>
      </c>
      <c r="E95" s="25">
        <f>IF($A95="","",SUMIFS(Cashflows!$D$5:$D$5000,Cashflows!$B$5:$B$5000,$A95,Cashflows!$C$5:$C$5000,"Abruf"))</f>
      </c>
      <c r="F95" s="25">
        <f>IF($A95="","",SUMIFS(Cashflows!$D$5:$D$5000,Cashflows!$B$5:$B$5000,$A95,Cashflows!$C$5:$C$5000,"Gebühr außerhalb der Zusage")+SUMIFS(Cashflows!$D$5:$D$5000,Cashflows!$B$5:$B$5000,$A95,Cashflows!$C$5:$C$5000,"Ausgleichszins"))</f>
      </c>
      <c r="G95" s="25">
        <f>IF($A95="","",SUMIFS(Cashflows!$D$5:$D$5000,Cashflows!$B$5:$B$5000,$A95,Cashflows!$C$5:$C$5000,"Ausschüttung"))</f>
      </c>
      <c r="H95" s="25">
        <f>IF($A95="","",SUMIFS(Cashflows!$E$5:$E$5000,Cashflows!$B$5:$B$5000,$A95,Cashflows!$C$5:$C$5000,"Ausschüttung"))</f>
      </c>
      <c r="I95" s="26">
        <f>IF($A95="","",D95-E95+H95)</f>
      </c>
      <c r="J95" s="25">
        <f>IF($A95="","",SUMIFS(Cashflows!$D$5:$D$5000,Cashflows!$B$5:$B$5000,$A95,Cashflows!$G$5:$G$5000,"Angekündigt",Cashflows!$C$5:$C$5000,"&lt;&gt;Ausschüttung"))</f>
      </c>
      <c r="K95" s="27">
        <f>IF($A95="","",IF(COUNTIFS(Cashflows!$B$5:$B$5000,$A95,Cashflows!$G$5:$G$5000,"Angekündigt",Cashflows!$C$5:$C$5000,"&lt;&gt;Ausschüttung",Cashflows!$F$5:$F$5000,"&gt;0")=0,"",MINIFS(Cashflows!$F$5:$F$5000,Cashflows!$B$5:$B$5000,$A95,Cashflows!$G$5:$G$5000,"Angekündigt",Cashflows!$C$5:$C$5000,"&lt;&gt;Ausschüttung",Cashflows!$F$5:$F$5000,"&gt;0")))</f>
      </c>
      <c r="L95" s="25">
        <f>IF($A95="","",I95+J95)</f>
      </c>
    </row>
    <row r="96" spans="1:12" x14ac:dyDescent="0.25">
      <c r="A96" s="23">
        <f>IF(INDEX(Fonds!$A$1:$A$1000,59)="","",INDEX(Fonds!$A$1:$A$1000,59))</f>
      </c>
      <c r="B96" s="23">
        <f>IF($A96="","",INDEX(Fonds!$B$1:$B$1000,59)&amp;"")</f>
      </c>
      <c r="C96" s="23">
        <f>IF($A96="","",INDEX(Fonds!$D$1:$D$1000,59)&amp;"")</f>
      </c>
      <c r="D96" s="25">
        <f>IF($A96="","",INDEX(Fonds!$E$1:$E$1000,59))</f>
      </c>
      <c r="E96" s="25">
        <f>IF($A96="","",SUMIFS(Cashflows!$D$5:$D$5000,Cashflows!$B$5:$B$5000,$A96,Cashflows!$C$5:$C$5000,"Abruf"))</f>
      </c>
      <c r="F96" s="25">
        <f>IF($A96="","",SUMIFS(Cashflows!$D$5:$D$5000,Cashflows!$B$5:$B$5000,$A96,Cashflows!$C$5:$C$5000,"Gebühr außerhalb der Zusage")+SUMIFS(Cashflows!$D$5:$D$5000,Cashflows!$B$5:$B$5000,$A96,Cashflows!$C$5:$C$5000,"Ausgleichszins"))</f>
      </c>
      <c r="G96" s="25">
        <f>IF($A96="","",SUMIFS(Cashflows!$D$5:$D$5000,Cashflows!$B$5:$B$5000,$A96,Cashflows!$C$5:$C$5000,"Ausschüttung"))</f>
      </c>
      <c r="H96" s="25">
        <f>IF($A96="","",SUMIFS(Cashflows!$E$5:$E$5000,Cashflows!$B$5:$B$5000,$A96,Cashflows!$C$5:$C$5000,"Ausschüttung"))</f>
      </c>
      <c r="I96" s="26">
        <f>IF($A96="","",D96-E96+H96)</f>
      </c>
      <c r="J96" s="25">
        <f>IF($A96="","",SUMIFS(Cashflows!$D$5:$D$5000,Cashflows!$B$5:$B$5000,$A96,Cashflows!$G$5:$G$5000,"Angekündigt",Cashflows!$C$5:$C$5000,"&lt;&gt;Ausschüttung"))</f>
      </c>
      <c r="K96" s="27">
        <f>IF($A96="","",IF(COUNTIFS(Cashflows!$B$5:$B$5000,$A96,Cashflows!$G$5:$G$5000,"Angekündigt",Cashflows!$C$5:$C$5000,"&lt;&gt;Ausschüttung",Cashflows!$F$5:$F$5000,"&gt;0")=0,"",MINIFS(Cashflows!$F$5:$F$5000,Cashflows!$B$5:$B$5000,$A96,Cashflows!$G$5:$G$5000,"Angekündigt",Cashflows!$C$5:$C$5000,"&lt;&gt;Ausschüttung",Cashflows!$F$5:$F$5000,"&gt;0")))</f>
      </c>
      <c r="L96" s="25">
        <f>IF($A96="","",I96+J96)</f>
      </c>
    </row>
    <row r="97" spans="1:12" x14ac:dyDescent="0.25">
      <c r="A97" s="23">
        <f>IF(INDEX(Fonds!$A$1:$A$1000,60)="","",INDEX(Fonds!$A$1:$A$1000,60))</f>
      </c>
      <c r="B97" s="23">
        <f>IF($A97="","",INDEX(Fonds!$B$1:$B$1000,60)&amp;"")</f>
      </c>
      <c r="C97" s="23">
        <f>IF($A97="","",INDEX(Fonds!$D$1:$D$1000,60)&amp;"")</f>
      </c>
      <c r="D97" s="25">
        <f>IF($A97="","",INDEX(Fonds!$E$1:$E$1000,60))</f>
      </c>
      <c r="E97" s="25">
        <f>IF($A97="","",SUMIFS(Cashflows!$D$5:$D$5000,Cashflows!$B$5:$B$5000,$A97,Cashflows!$C$5:$C$5000,"Abruf"))</f>
      </c>
      <c r="F97" s="25">
        <f>IF($A97="","",SUMIFS(Cashflows!$D$5:$D$5000,Cashflows!$B$5:$B$5000,$A97,Cashflows!$C$5:$C$5000,"Gebühr außerhalb der Zusage")+SUMIFS(Cashflows!$D$5:$D$5000,Cashflows!$B$5:$B$5000,$A97,Cashflows!$C$5:$C$5000,"Ausgleichszins"))</f>
      </c>
      <c r="G97" s="25">
        <f>IF($A97="","",SUMIFS(Cashflows!$D$5:$D$5000,Cashflows!$B$5:$B$5000,$A97,Cashflows!$C$5:$C$5000,"Ausschüttung"))</f>
      </c>
      <c r="H97" s="25">
        <f>IF($A97="","",SUMIFS(Cashflows!$E$5:$E$5000,Cashflows!$B$5:$B$5000,$A97,Cashflows!$C$5:$C$5000,"Ausschüttung"))</f>
      </c>
      <c r="I97" s="26">
        <f>IF($A97="","",D97-E97+H97)</f>
      </c>
      <c r="J97" s="25">
        <f>IF($A97="","",SUMIFS(Cashflows!$D$5:$D$5000,Cashflows!$B$5:$B$5000,$A97,Cashflows!$G$5:$G$5000,"Angekündigt",Cashflows!$C$5:$C$5000,"&lt;&gt;Ausschüttung"))</f>
      </c>
      <c r="K97" s="27">
        <f>IF($A97="","",IF(COUNTIFS(Cashflows!$B$5:$B$5000,$A97,Cashflows!$G$5:$G$5000,"Angekündigt",Cashflows!$C$5:$C$5000,"&lt;&gt;Ausschüttung",Cashflows!$F$5:$F$5000,"&gt;0")=0,"",MINIFS(Cashflows!$F$5:$F$5000,Cashflows!$B$5:$B$5000,$A97,Cashflows!$G$5:$G$5000,"Angekündigt",Cashflows!$C$5:$C$5000,"&lt;&gt;Ausschüttung",Cashflows!$F$5:$F$5000,"&gt;0")))</f>
      </c>
      <c r="L97" s="25">
        <f>IF($A97="","",I97+J97)</f>
      </c>
    </row>
    <row r="98" spans="1:12" x14ac:dyDescent="0.25">
      <c r="A98" s="23">
        <f>IF(INDEX(Fonds!$A$1:$A$1000,61)="","",INDEX(Fonds!$A$1:$A$1000,61))</f>
      </c>
      <c r="B98" s="23">
        <f>IF($A98="","",INDEX(Fonds!$B$1:$B$1000,61)&amp;"")</f>
      </c>
      <c r="C98" s="23">
        <f>IF($A98="","",INDEX(Fonds!$D$1:$D$1000,61)&amp;"")</f>
      </c>
      <c r="D98" s="25">
        <f>IF($A98="","",INDEX(Fonds!$E$1:$E$1000,61))</f>
      </c>
      <c r="E98" s="25">
        <f>IF($A98="","",SUMIFS(Cashflows!$D$5:$D$5000,Cashflows!$B$5:$B$5000,$A98,Cashflows!$C$5:$C$5000,"Abruf"))</f>
      </c>
      <c r="F98" s="25">
        <f>IF($A98="","",SUMIFS(Cashflows!$D$5:$D$5000,Cashflows!$B$5:$B$5000,$A98,Cashflows!$C$5:$C$5000,"Gebühr außerhalb der Zusage")+SUMIFS(Cashflows!$D$5:$D$5000,Cashflows!$B$5:$B$5000,$A98,Cashflows!$C$5:$C$5000,"Ausgleichszins"))</f>
      </c>
      <c r="G98" s="25">
        <f>IF($A98="","",SUMIFS(Cashflows!$D$5:$D$5000,Cashflows!$B$5:$B$5000,$A98,Cashflows!$C$5:$C$5000,"Ausschüttung"))</f>
      </c>
      <c r="H98" s="25">
        <f>IF($A98="","",SUMIFS(Cashflows!$E$5:$E$5000,Cashflows!$B$5:$B$5000,$A98,Cashflows!$C$5:$C$5000,"Ausschüttung"))</f>
      </c>
      <c r="I98" s="26">
        <f>IF($A98="","",D98-E98+H98)</f>
      </c>
      <c r="J98" s="25">
        <f>IF($A98="","",SUMIFS(Cashflows!$D$5:$D$5000,Cashflows!$B$5:$B$5000,$A98,Cashflows!$G$5:$G$5000,"Angekündigt",Cashflows!$C$5:$C$5000,"&lt;&gt;Ausschüttung"))</f>
      </c>
      <c r="K98" s="27">
        <f>IF($A98="","",IF(COUNTIFS(Cashflows!$B$5:$B$5000,$A98,Cashflows!$G$5:$G$5000,"Angekündigt",Cashflows!$C$5:$C$5000,"&lt;&gt;Ausschüttung",Cashflows!$F$5:$F$5000,"&gt;0")=0,"",MINIFS(Cashflows!$F$5:$F$5000,Cashflows!$B$5:$B$5000,$A98,Cashflows!$G$5:$G$5000,"Angekündigt",Cashflows!$C$5:$C$5000,"&lt;&gt;Ausschüttung",Cashflows!$F$5:$F$5000,"&gt;0")))</f>
      </c>
      <c r="L98" s="25">
        <f>IF($A98="","",I98+J98)</f>
      </c>
    </row>
    <row r="99" spans="1:12" x14ac:dyDescent="0.25">
      <c r="A99" s="23">
        <f>IF(INDEX(Fonds!$A$1:$A$1000,62)="","",INDEX(Fonds!$A$1:$A$1000,62))</f>
      </c>
      <c r="B99" s="23">
        <f>IF($A99="","",INDEX(Fonds!$B$1:$B$1000,62)&amp;"")</f>
      </c>
      <c r="C99" s="23">
        <f>IF($A99="","",INDEX(Fonds!$D$1:$D$1000,62)&amp;"")</f>
      </c>
      <c r="D99" s="25">
        <f>IF($A99="","",INDEX(Fonds!$E$1:$E$1000,62))</f>
      </c>
      <c r="E99" s="25">
        <f>IF($A99="","",SUMIFS(Cashflows!$D$5:$D$5000,Cashflows!$B$5:$B$5000,$A99,Cashflows!$C$5:$C$5000,"Abruf"))</f>
      </c>
      <c r="F99" s="25">
        <f>IF($A99="","",SUMIFS(Cashflows!$D$5:$D$5000,Cashflows!$B$5:$B$5000,$A99,Cashflows!$C$5:$C$5000,"Gebühr außerhalb der Zusage")+SUMIFS(Cashflows!$D$5:$D$5000,Cashflows!$B$5:$B$5000,$A99,Cashflows!$C$5:$C$5000,"Ausgleichszins"))</f>
      </c>
      <c r="G99" s="25">
        <f>IF($A99="","",SUMIFS(Cashflows!$D$5:$D$5000,Cashflows!$B$5:$B$5000,$A99,Cashflows!$C$5:$C$5000,"Ausschüttung"))</f>
      </c>
      <c r="H99" s="25">
        <f>IF($A99="","",SUMIFS(Cashflows!$E$5:$E$5000,Cashflows!$B$5:$B$5000,$A99,Cashflows!$C$5:$C$5000,"Ausschüttung"))</f>
      </c>
      <c r="I99" s="26">
        <f>IF($A99="","",D99-E99+H99)</f>
      </c>
      <c r="J99" s="25">
        <f>IF($A99="","",SUMIFS(Cashflows!$D$5:$D$5000,Cashflows!$B$5:$B$5000,$A99,Cashflows!$G$5:$G$5000,"Angekündigt",Cashflows!$C$5:$C$5000,"&lt;&gt;Ausschüttung"))</f>
      </c>
      <c r="K99" s="27">
        <f>IF($A99="","",IF(COUNTIFS(Cashflows!$B$5:$B$5000,$A99,Cashflows!$G$5:$G$5000,"Angekündigt",Cashflows!$C$5:$C$5000,"&lt;&gt;Ausschüttung",Cashflows!$F$5:$F$5000,"&gt;0")=0,"",MINIFS(Cashflows!$F$5:$F$5000,Cashflows!$B$5:$B$5000,$A99,Cashflows!$G$5:$G$5000,"Angekündigt",Cashflows!$C$5:$C$5000,"&lt;&gt;Ausschüttung",Cashflows!$F$5:$F$5000,"&gt;0")))</f>
      </c>
      <c r="L99" s="25">
        <f>IF($A99="","",I99+J99)</f>
      </c>
    </row>
    <row r="100" spans="1:12" x14ac:dyDescent="0.25">
      <c r="A100" s="23">
        <f>IF(INDEX(Fonds!$A$1:$A$1000,63)="","",INDEX(Fonds!$A$1:$A$1000,63))</f>
      </c>
      <c r="B100" s="23">
        <f>IF($A100="","",INDEX(Fonds!$B$1:$B$1000,63)&amp;"")</f>
      </c>
      <c r="C100" s="23">
        <f>IF($A100="","",INDEX(Fonds!$D$1:$D$1000,63)&amp;"")</f>
      </c>
      <c r="D100" s="25">
        <f>IF($A100="","",INDEX(Fonds!$E$1:$E$1000,63))</f>
      </c>
      <c r="E100" s="25">
        <f>IF($A100="","",SUMIFS(Cashflows!$D$5:$D$5000,Cashflows!$B$5:$B$5000,$A100,Cashflows!$C$5:$C$5000,"Abruf"))</f>
      </c>
      <c r="F100" s="25">
        <f>IF($A100="","",SUMIFS(Cashflows!$D$5:$D$5000,Cashflows!$B$5:$B$5000,$A100,Cashflows!$C$5:$C$5000,"Gebühr außerhalb der Zusage")+SUMIFS(Cashflows!$D$5:$D$5000,Cashflows!$B$5:$B$5000,$A100,Cashflows!$C$5:$C$5000,"Ausgleichszins"))</f>
      </c>
      <c r="G100" s="25">
        <f>IF($A100="","",SUMIFS(Cashflows!$D$5:$D$5000,Cashflows!$B$5:$B$5000,$A100,Cashflows!$C$5:$C$5000,"Ausschüttung"))</f>
      </c>
      <c r="H100" s="25">
        <f>IF($A100="","",SUMIFS(Cashflows!$E$5:$E$5000,Cashflows!$B$5:$B$5000,$A100,Cashflows!$C$5:$C$5000,"Ausschüttung"))</f>
      </c>
      <c r="I100" s="26">
        <f>IF($A100="","",D100-E100+H100)</f>
      </c>
      <c r="J100" s="25">
        <f>IF($A100="","",SUMIFS(Cashflows!$D$5:$D$5000,Cashflows!$B$5:$B$5000,$A100,Cashflows!$G$5:$G$5000,"Angekündigt",Cashflows!$C$5:$C$5000,"&lt;&gt;Ausschüttung"))</f>
      </c>
      <c r="K100" s="27">
        <f>IF($A100="","",IF(COUNTIFS(Cashflows!$B$5:$B$5000,$A100,Cashflows!$G$5:$G$5000,"Angekündigt",Cashflows!$C$5:$C$5000,"&lt;&gt;Ausschüttung",Cashflows!$F$5:$F$5000,"&gt;0")=0,"",MINIFS(Cashflows!$F$5:$F$5000,Cashflows!$B$5:$B$5000,$A100,Cashflows!$G$5:$G$5000,"Angekündigt",Cashflows!$C$5:$C$5000,"&lt;&gt;Ausschüttung",Cashflows!$F$5:$F$5000,"&gt;0")))</f>
      </c>
      <c r="L100" s="25">
        <f>IF($A100="","",I100+J100)</f>
      </c>
    </row>
    <row r="101" spans="1:12" x14ac:dyDescent="0.25">
      <c r="A101" s="23">
        <f>IF(INDEX(Fonds!$A$1:$A$1000,64)="","",INDEX(Fonds!$A$1:$A$1000,64))</f>
      </c>
      <c r="B101" s="23">
        <f>IF($A101="","",INDEX(Fonds!$B$1:$B$1000,64)&amp;"")</f>
      </c>
      <c r="C101" s="23">
        <f>IF($A101="","",INDEX(Fonds!$D$1:$D$1000,64)&amp;"")</f>
      </c>
      <c r="D101" s="25">
        <f>IF($A101="","",INDEX(Fonds!$E$1:$E$1000,64))</f>
      </c>
      <c r="E101" s="25">
        <f>IF($A101="","",SUMIFS(Cashflows!$D$5:$D$5000,Cashflows!$B$5:$B$5000,$A101,Cashflows!$C$5:$C$5000,"Abruf"))</f>
      </c>
      <c r="F101" s="25">
        <f>IF($A101="","",SUMIFS(Cashflows!$D$5:$D$5000,Cashflows!$B$5:$B$5000,$A101,Cashflows!$C$5:$C$5000,"Gebühr außerhalb der Zusage")+SUMIFS(Cashflows!$D$5:$D$5000,Cashflows!$B$5:$B$5000,$A101,Cashflows!$C$5:$C$5000,"Ausgleichszins"))</f>
      </c>
      <c r="G101" s="25">
        <f>IF($A101="","",SUMIFS(Cashflows!$D$5:$D$5000,Cashflows!$B$5:$B$5000,$A101,Cashflows!$C$5:$C$5000,"Ausschüttung"))</f>
      </c>
      <c r="H101" s="25">
        <f>IF($A101="","",SUMIFS(Cashflows!$E$5:$E$5000,Cashflows!$B$5:$B$5000,$A101,Cashflows!$C$5:$C$5000,"Ausschüttung"))</f>
      </c>
      <c r="I101" s="26">
        <f>IF($A101="","",D101-E101+H101)</f>
      </c>
      <c r="J101" s="25">
        <f>IF($A101="","",SUMIFS(Cashflows!$D$5:$D$5000,Cashflows!$B$5:$B$5000,$A101,Cashflows!$G$5:$G$5000,"Angekündigt",Cashflows!$C$5:$C$5000,"&lt;&gt;Ausschüttung"))</f>
      </c>
      <c r="K101" s="27">
        <f>IF($A101="","",IF(COUNTIFS(Cashflows!$B$5:$B$5000,$A101,Cashflows!$G$5:$G$5000,"Angekündigt",Cashflows!$C$5:$C$5000,"&lt;&gt;Ausschüttung",Cashflows!$F$5:$F$5000,"&gt;0")=0,"",MINIFS(Cashflows!$F$5:$F$5000,Cashflows!$B$5:$B$5000,$A101,Cashflows!$G$5:$G$5000,"Angekündigt",Cashflows!$C$5:$C$5000,"&lt;&gt;Ausschüttung",Cashflows!$F$5:$F$5000,"&gt;0")))</f>
      </c>
      <c r="L101" s="25">
        <f>IF($A101="","",I101+J101)</f>
      </c>
    </row>
    <row r="102" spans="1:12" x14ac:dyDescent="0.25">
      <c r="A102" s="23">
        <f>IF(INDEX(Fonds!$A$1:$A$1000,65)="","",INDEX(Fonds!$A$1:$A$1000,65))</f>
      </c>
      <c r="B102" s="23">
        <f>IF($A102="","",INDEX(Fonds!$B$1:$B$1000,65)&amp;"")</f>
      </c>
      <c r="C102" s="23">
        <f>IF($A102="","",INDEX(Fonds!$D$1:$D$1000,65)&amp;"")</f>
      </c>
      <c r="D102" s="25">
        <f>IF($A102="","",INDEX(Fonds!$E$1:$E$1000,65))</f>
      </c>
      <c r="E102" s="25">
        <f>IF($A102="","",SUMIFS(Cashflows!$D$5:$D$5000,Cashflows!$B$5:$B$5000,$A102,Cashflows!$C$5:$C$5000,"Abruf"))</f>
      </c>
      <c r="F102" s="25">
        <f>IF($A102="","",SUMIFS(Cashflows!$D$5:$D$5000,Cashflows!$B$5:$B$5000,$A102,Cashflows!$C$5:$C$5000,"Gebühr außerhalb der Zusage")+SUMIFS(Cashflows!$D$5:$D$5000,Cashflows!$B$5:$B$5000,$A102,Cashflows!$C$5:$C$5000,"Ausgleichszins"))</f>
      </c>
      <c r="G102" s="25">
        <f>IF($A102="","",SUMIFS(Cashflows!$D$5:$D$5000,Cashflows!$B$5:$B$5000,$A102,Cashflows!$C$5:$C$5000,"Ausschüttung"))</f>
      </c>
      <c r="H102" s="25">
        <f>IF($A102="","",SUMIFS(Cashflows!$E$5:$E$5000,Cashflows!$B$5:$B$5000,$A102,Cashflows!$C$5:$C$5000,"Ausschüttung"))</f>
      </c>
      <c r="I102" s="26">
        <f>IF($A102="","",D102-E102+H102)</f>
      </c>
      <c r="J102" s="25">
        <f>IF($A102="","",SUMIFS(Cashflows!$D$5:$D$5000,Cashflows!$B$5:$B$5000,$A102,Cashflows!$G$5:$G$5000,"Angekündigt",Cashflows!$C$5:$C$5000,"&lt;&gt;Ausschüttung"))</f>
      </c>
      <c r="K102" s="27">
        <f>IF($A102="","",IF(COUNTIFS(Cashflows!$B$5:$B$5000,$A102,Cashflows!$G$5:$G$5000,"Angekündigt",Cashflows!$C$5:$C$5000,"&lt;&gt;Ausschüttung",Cashflows!$F$5:$F$5000,"&gt;0")=0,"",MINIFS(Cashflows!$F$5:$F$5000,Cashflows!$B$5:$B$5000,$A102,Cashflows!$G$5:$G$5000,"Angekündigt",Cashflows!$C$5:$C$5000,"&lt;&gt;Ausschüttung",Cashflows!$F$5:$F$5000,"&gt;0")))</f>
      </c>
      <c r="L102" s="25">
        <f>IF($A102="","",I102+J102)</f>
      </c>
    </row>
    <row r="103" spans="1:12" x14ac:dyDescent="0.25">
      <c r="A103" s="23">
        <f>IF(INDEX(Fonds!$A$1:$A$1000,66)="","",INDEX(Fonds!$A$1:$A$1000,66))</f>
      </c>
      <c r="B103" s="23">
        <f>IF($A103="","",INDEX(Fonds!$B$1:$B$1000,66)&amp;"")</f>
      </c>
      <c r="C103" s="23">
        <f>IF($A103="","",INDEX(Fonds!$D$1:$D$1000,66)&amp;"")</f>
      </c>
      <c r="D103" s="25">
        <f>IF($A103="","",INDEX(Fonds!$E$1:$E$1000,66))</f>
      </c>
      <c r="E103" s="25">
        <f>IF($A103="","",SUMIFS(Cashflows!$D$5:$D$5000,Cashflows!$B$5:$B$5000,$A103,Cashflows!$C$5:$C$5000,"Abruf"))</f>
      </c>
      <c r="F103" s="25">
        <f>IF($A103="","",SUMIFS(Cashflows!$D$5:$D$5000,Cashflows!$B$5:$B$5000,$A103,Cashflows!$C$5:$C$5000,"Gebühr außerhalb der Zusage")+SUMIFS(Cashflows!$D$5:$D$5000,Cashflows!$B$5:$B$5000,$A103,Cashflows!$C$5:$C$5000,"Ausgleichszins"))</f>
      </c>
      <c r="G103" s="25">
        <f>IF($A103="","",SUMIFS(Cashflows!$D$5:$D$5000,Cashflows!$B$5:$B$5000,$A103,Cashflows!$C$5:$C$5000,"Ausschüttung"))</f>
      </c>
      <c r="H103" s="25">
        <f>IF($A103="","",SUMIFS(Cashflows!$E$5:$E$5000,Cashflows!$B$5:$B$5000,$A103,Cashflows!$C$5:$C$5000,"Ausschüttung"))</f>
      </c>
      <c r="I103" s="26">
        <f>IF($A103="","",D103-E103+H103)</f>
      </c>
      <c r="J103" s="25">
        <f>IF($A103="","",SUMIFS(Cashflows!$D$5:$D$5000,Cashflows!$B$5:$B$5000,$A103,Cashflows!$G$5:$G$5000,"Angekündigt",Cashflows!$C$5:$C$5000,"&lt;&gt;Ausschüttung"))</f>
      </c>
      <c r="K103" s="27">
        <f>IF($A103="","",IF(COUNTIFS(Cashflows!$B$5:$B$5000,$A103,Cashflows!$G$5:$G$5000,"Angekündigt",Cashflows!$C$5:$C$5000,"&lt;&gt;Ausschüttung",Cashflows!$F$5:$F$5000,"&gt;0")=0,"",MINIFS(Cashflows!$F$5:$F$5000,Cashflows!$B$5:$B$5000,$A103,Cashflows!$G$5:$G$5000,"Angekündigt",Cashflows!$C$5:$C$5000,"&lt;&gt;Ausschüttung",Cashflows!$F$5:$F$5000,"&gt;0")))</f>
      </c>
      <c r="L103" s="25">
        <f>IF($A103="","",I103+J103)</f>
      </c>
    </row>
    <row r="104" spans="1:12" x14ac:dyDescent="0.25">
      <c r="A104" s="23">
        <f>IF(INDEX(Fonds!$A$1:$A$1000,67)="","",INDEX(Fonds!$A$1:$A$1000,67))</f>
      </c>
      <c r="B104" s="23">
        <f>IF($A104="","",INDEX(Fonds!$B$1:$B$1000,67)&amp;"")</f>
      </c>
      <c r="C104" s="23">
        <f>IF($A104="","",INDEX(Fonds!$D$1:$D$1000,67)&amp;"")</f>
      </c>
      <c r="D104" s="25">
        <f>IF($A104="","",INDEX(Fonds!$E$1:$E$1000,67))</f>
      </c>
      <c r="E104" s="25">
        <f>IF($A104="","",SUMIFS(Cashflows!$D$5:$D$5000,Cashflows!$B$5:$B$5000,$A104,Cashflows!$C$5:$C$5000,"Abruf"))</f>
      </c>
      <c r="F104" s="25">
        <f>IF($A104="","",SUMIFS(Cashflows!$D$5:$D$5000,Cashflows!$B$5:$B$5000,$A104,Cashflows!$C$5:$C$5000,"Gebühr außerhalb der Zusage")+SUMIFS(Cashflows!$D$5:$D$5000,Cashflows!$B$5:$B$5000,$A104,Cashflows!$C$5:$C$5000,"Ausgleichszins"))</f>
      </c>
      <c r="G104" s="25">
        <f>IF($A104="","",SUMIFS(Cashflows!$D$5:$D$5000,Cashflows!$B$5:$B$5000,$A104,Cashflows!$C$5:$C$5000,"Ausschüttung"))</f>
      </c>
      <c r="H104" s="25">
        <f>IF($A104="","",SUMIFS(Cashflows!$E$5:$E$5000,Cashflows!$B$5:$B$5000,$A104,Cashflows!$C$5:$C$5000,"Ausschüttung"))</f>
      </c>
      <c r="I104" s="26">
        <f>IF($A104="","",D104-E104+H104)</f>
      </c>
      <c r="J104" s="25">
        <f>IF($A104="","",SUMIFS(Cashflows!$D$5:$D$5000,Cashflows!$B$5:$B$5000,$A104,Cashflows!$G$5:$G$5000,"Angekündigt",Cashflows!$C$5:$C$5000,"&lt;&gt;Ausschüttung"))</f>
      </c>
      <c r="K104" s="27">
        <f>IF($A104="","",IF(COUNTIFS(Cashflows!$B$5:$B$5000,$A104,Cashflows!$G$5:$G$5000,"Angekündigt",Cashflows!$C$5:$C$5000,"&lt;&gt;Ausschüttung",Cashflows!$F$5:$F$5000,"&gt;0")=0,"",MINIFS(Cashflows!$F$5:$F$5000,Cashflows!$B$5:$B$5000,$A104,Cashflows!$G$5:$G$5000,"Angekündigt",Cashflows!$C$5:$C$5000,"&lt;&gt;Ausschüttung",Cashflows!$F$5:$F$5000,"&gt;0")))</f>
      </c>
      <c r="L104" s="25">
        <f>IF($A104="","",I104+J104)</f>
      </c>
    </row>
    <row r="105" spans="1:12" x14ac:dyDescent="0.25">
      <c r="A105" s="23">
        <f>IF(INDEX(Fonds!$A$1:$A$1000,68)="","",INDEX(Fonds!$A$1:$A$1000,68))</f>
      </c>
      <c r="B105" s="23">
        <f>IF($A105="","",INDEX(Fonds!$B$1:$B$1000,68)&amp;"")</f>
      </c>
      <c r="C105" s="23">
        <f>IF($A105="","",INDEX(Fonds!$D$1:$D$1000,68)&amp;"")</f>
      </c>
      <c r="D105" s="25">
        <f>IF($A105="","",INDEX(Fonds!$E$1:$E$1000,68))</f>
      </c>
      <c r="E105" s="25">
        <f>IF($A105="","",SUMIFS(Cashflows!$D$5:$D$5000,Cashflows!$B$5:$B$5000,$A105,Cashflows!$C$5:$C$5000,"Abruf"))</f>
      </c>
      <c r="F105" s="25">
        <f>IF($A105="","",SUMIFS(Cashflows!$D$5:$D$5000,Cashflows!$B$5:$B$5000,$A105,Cashflows!$C$5:$C$5000,"Gebühr außerhalb der Zusage")+SUMIFS(Cashflows!$D$5:$D$5000,Cashflows!$B$5:$B$5000,$A105,Cashflows!$C$5:$C$5000,"Ausgleichszins"))</f>
      </c>
      <c r="G105" s="25">
        <f>IF($A105="","",SUMIFS(Cashflows!$D$5:$D$5000,Cashflows!$B$5:$B$5000,$A105,Cashflows!$C$5:$C$5000,"Ausschüttung"))</f>
      </c>
      <c r="H105" s="25">
        <f>IF($A105="","",SUMIFS(Cashflows!$E$5:$E$5000,Cashflows!$B$5:$B$5000,$A105,Cashflows!$C$5:$C$5000,"Ausschüttung"))</f>
      </c>
      <c r="I105" s="26">
        <f>IF($A105="","",D105-E105+H105)</f>
      </c>
      <c r="J105" s="25">
        <f>IF($A105="","",SUMIFS(Cashflows!$D$5:$D$5000,Cashflows!$B$5:$B$5000,$A105,Cashflows!$G$5:$G$5000,"Angekündigt",Cashflows!$C$5:$C$5000,"&lt;&gt;Ausschüttung"))</f>
      </c>
      <c r="K105" s="27">
        <f>IF($A105="","",IF(COUNTIFS(Cashflows!$B$5:$B$5000,$A105,Cashflows!$G$5:$G$5000,"Angekündigt",Cashflows!$C$5:$C$5000,"&lt;&gt;Ausschüttung",Cashflows!$F$5:$F$5000,"&gt;0")=0,"",MINIFS(Cashflows!$F$5:$F$5000,Cashflows!$B$5:$B$5000,$A105,Cashflows!$G$5:$G$5000,"Angekündigt",Cashflows!$C$5:$C$5000,"&lt;&gt;Ausschüttung",Cashflows!$F$5:$F$5000,"&gt;0")))</f>
      </c>
      <c r="L105" s="25">
        <f>IF($A105="","",I105+J105)</f>
      </c>
    </row>
    <row r="106" spans="1:12" x14ac:dyDescent="0.25">
      <c r="A106" s="23">
        <f>IF(INDEX(Fonds!$A$1:$A$1000,69)="","",INDEX(Fonds!$A$1:$A$1000,69))</f>
      </c>
      <c r="B106" s="23">
        <f>IF($A106="","",INDEX(Fonds!$B$1:$B$1000,69)&amp;"")</f>
      </c>
      <c r="C106" s="23">
        <f>IF($A106="","",INDEX(Fonds!$D$1:$D$1000,69)&amp;"")</f>
      </c>
      <c r="D106" s="25">
        <f>IF($A106="","",INDEX(Fonds!$E$1:$E$1000,69))</f>
      </c>
      <c r="E106" s="25">
        <f>IF($A106="","",SUMIFS(Cashflows!$D$5:$D$5000,Cashflows!$B$5:$B$5000,$A106,Cashflows!$C$5:$C$5000,"Abruf"))</f>
      </c>
      <c r="F106" s="25">
        <f>IF($A106="","",SUMIFS(Cashflows!$D$5:$D$5000,Cashflows!$B$5:$B$5000,$A106,Cashflows!$C$5:$C$5000,"Gebühr außerhalb der Zusage")+SUMIFS(Cashflows!$D$5:$D$5000,Cashflows!$B$5:$B$5000,$A106,Cashflows!$C$5:$C$5000,"Ausgleichszins"))</f>
      </c>
      <c r="G106" s="25">
        <f>IF($A106="","",SUMIFS(Cashflows!$D$5:$D$5000,Cashflows!$B$5:$B$5000,$A106,Cashflows!$C$5:$C$5000,"Ausschüttung"))</f>
      </c>
      <c r="H106" s="25">
        <f>IF($A106="","",SUMIFS(Cashflows!$E$5:$E$5000,Cashflows!$B$5:$B$5000,$A106,Cashflows!$C$5:$C$5000,"Ausschüttung"))</f>
      </c>
      <c r="I106" s="26">
        <f>IF($A106="","",D106-E106+H106)</f>
      </c>
      <c r="J106" s="25">
        <f>IF($A106="","",SUMIFS(Cashflows!$D$5:$D$5000,Cashflows!$B$5:$B$5000,$A106,Cashflows!$G$5:$G$5000,"Angekündigt",Cashflows!$C$5:$C$5000,"&lt;&gt;Ausschüttung"))</f>
      </c>
      <c r="K106" s="27">
        <f>IF($A106="","",IF(COUNTIFS(Cashflows!$B$5:$B$5000,$A106,Cashflows!$G$5:$G$5000,"Angekündigt",Cashflows!$C$5:$C$5000,"&lt;&gt;Ausschüttung",Cashflows!$F$5:$F$5000,"&gt;0")=0,"",MINIFS(Cashflows!$F$5:$F$5000,Cashflows!$B$5:$B$5000,$A106,Cashflows!$G$5:$G$5000,"Angekündigt",Cashflows!$C$5:$C$5000,"&lt;&gt;Ausschüttung",Cashflows!$F$5:$F$5000,"&gt;0")))</f>
      </c>
      <c r="L106" s="25">
        <f>IF($A106="","",I106+J106)</f>
      </c>
    </row>
    <row r="107" spans="1:12" x14ac:dyDescent="0.25">
      <c r="A107" s="23">
        <f>IF(INDEX(Fonds!$A$1:$A$1000,70)="","",INDEX(Fonds!$A$1:$A$1000,70))</f>
      </c>
      <c r="B107" s="23">
        <f>IF($A107="","",INDEX(Fonds!$B$1:$B$1000,70)&amp;"")</f>
      </c>
      <c r="C107" s="23">
        <f>IF($A107="","",INDEX(Fonds!$D$1:$D$1000,70)&amp;"")</f>
      </c>
      <c r="D107" s="25">
        <f>IF($A107="","",INDEX(Fonds!$E$1:$E$1000,70))</f>
      </c>
      <c r="E107" s="25">
        <f>IF($A107="","",SUMIFS(Cashflows!$D$5:$D$5000,Cashflows!$B$5:$B$5000,$A107,Cashflows!$C$5:$C$5000,"Abruf"))</f>
      </c>
      <c r="F107" s="25">
        <f>IF($A107="","",SUMIFS(Cashflows!$D$5:$D$5000,Cashflows!$B$5:$B$5000,$A107,Cashflows!$C$5:$C$5000,"Gebühr außerhalb der Zusage")+SUMIFS(Cashflows!$D$5:$D$5000,Cashflows!$B$5:$B$5000,$A107,Cashflows!$C$5:$C$5000,"Ausgleichszins"))</f>
      </c>
      <c r="G107" s="25">
        <f>IF($A107="","",SUMIFS(Cashflows!$D$5:$D$5000,Cashflows!$B$5:$B$5000,$A107,Cashflows!$C$5:$C$5000,"Ausschüttung"))</f>
      </c>
      <c r="H107" s="25">
        <f>IF($A107="","",SUMIFS(Cashflows!$E$5:$E$5000,Cashflows!$B$5:$B$5000,$A107,Cashflows!$C$5:$C$5000,"Ausschüttung"))</f>
      </c>
      <c r="I107" s="26">
        <f>IF($A107="","",D107-E107+H107)</f>
      </c>
      <c r="J107" s="25">
        <f>IF($A107="","",SUMIFS(Cashflows!$D$5:$D$5000,Cashflows!$B$5:$B$5000,$A107,Cashflows!$G$5:$G$5000,"Angekündigt",Cashflows!$C$5:$C$5000,"&lt;&gt;Ausschüttung"))</f>
      </c>
      <c r="K107" s="27">
        <f>IF($A107="","",IF(COUNTIFS(Cashflows!$B$5:$B$5000,$A107,Cashflows!$G$5:$G$5000,"Angekündigt",Cashflows!$C$5:$C$5000,"&lt;&gt;Ausschüttung",Cashflows!$F$5:$F$5000,"&gt;0")=0,"",MINIFS(Cashflows!$F$5:$F$5000,Cashflows!$B$5:$B$5000,$A107,Cashflows!$G$5:$G$5000,"Angekündigt",Cashflows!$C$5:$C$5000,"&lt;&gt;Ausschüttung",Cashflows!$F$5:$F$5000,"&gt;0")))</f>
      </c>
      <c r="L107" s="25">
        <f>IF($A107="","",I107+J107)</f>
      </c>
    </row>
    <row r="108" spans="1:12" x14ac:dyDescent="0.25">
      <c r="A108" s="23">
        <f>IF(INDEX(Fonds!$A$1:$A$1000,71)="","",INDEX(Fonds!$A$1:$A$1000,71))</f>
      </c>
      <c r="B108" s="23">
        <f>IF($A108="","",INDEX(Fonds!$B$1:$B$1000,71)&amp;"")</f>
      </c>
      <c r="C108" s="23">
        <f>IF($A108="","",INDEX(Fonds!$D$1:$D$1000,71)&amp;"")</f>
      </c>
      <c r="D108" s="25">
        <f>IF($A108="","",INDEX(Fonds!$E$1:$E$1000,71))</f>
      </c>
      <c r="E108" s="25">
        <f>IF($A108="","",SUMIFS(Cashflows!$D$5:$D$5000,Cashflows!$B$5:$B$5000,$A108,Cashflows!$C$5:$C$5000,"Abruf"))</f>
      </c>
      <c r="F108" s="25">
        <f>IF($A108="","",SUMIFS(Cashflows!$D$5:$D$5000,Cashflows!$B$5:$B$5000,$A108,Cashflows!$C$5:$C$5000,"Gebühr außerhalb der Zusage")+SUMIFS(Cashflows!$D$5:$D$5000,Cashflows!$B$5:$B$5000,$A108,Cashflows!$C$5:$C$5000,"Ausgleichszins"))</f>
      </c>
      <c r="G108" s="25">
        <f>IF($A108="","",SUMIFS(Cashflows!$D$5:$D$5000,Cashflows!$B$5:$B$5000,$A108,Cashflows!$C$5:$C$5000,"Ausschüttung"))</f>
      </c>
      <c r="H108" s="25">
        <f>IF($A108="","",SUMIFS(Cashflows!$E$5:$E$5000,Cashflows!$B$5:$B$5000,$A108,Cashflows!$C$5:$C$5000,"Ausschüttung"))</f>
      </c>
      <c r="I108" s="26">
        <f>IF($A108="","",D108-E108+H108)</f>
      </c>
      <c r="J108" s="25">
        <f>IF($A108="","",SUMIFS(Cashflows!$D$5:$D$5000,Cashflows!$B$5:$B$5000,$A108,Cashflows!$G$5:$G$5000,"Angekündigt",Cashflows!$C$5:$C$5000,"&lt;&gt;Ausschüttung"))</f>
      </c>
      <c r="K108" s="27">
        <f>IF($A108="","",IF(COUNTIFS(Cashflows!$B$5:$B$5000,$A108,Cashflows!$G$5:$G$5000,"Angekündigt",Cashflows!$C$5:$C$5000,"&lt;&gt;Ausschüttung",Cashflows!$F$5:$F$5000,"&gt;0")=0,"",MINIFS(Cashflows!$F$5:$F$5000,Cashflows!$B$5:$B$5000,$A108,Cashflows!$G$5:$G$5000,"Angekündigt",Cashflows!$C$5:$C$5000,"&lt;&gt;Ausschüttung",Cashflows!$F$5:$F$5000,"&gt;0")))</f>
      </c>
      <c r="L108" s="25">
        <f>IF($A108="","",I108+J108)</f>
      </c>
    </row>
    <row r="109" spans="1:12" x14ac:dyDescent="0.25">
      <c r="A109" s="23">
        <f>IF(INDEX(Fonds!$A$1:$A$1000,72)="","",INDEX(Fonds!$A$1:$A$1000,72))</f>
      </c>
      <c r="B109" s="23">
        <f>IF($A109="","",INDEX(Fonds!$B$1:$B$1000,72)&amp;"")</f>
      </c>
      <c r="C109" s="23">
        <f>IF($A109="","",INDEX(Fonds!$D$1:$D$1000,72)&amp;"")</f>
      </c>
      <c r="D109" s="25">
        <f>IF($A109="","",INDEX(Fonds!$E$1:$E$1000,72))</f>
      </c>
      <c r="E109" s="25">
        <f>IF($A109="","",SUMIFS(Cashflows!$D$5:$D$5000,Cashflows!$B$5:$B$5000,$A109,Cashflows!$C$5:$C$5000,"Abruf"))</f>
      </c>
      <c r="F109" s="25">
        <f>IF($A109="","",SUMIFS(Cashflows!$D$5:$D$5000,Cashflows!$B$5:$B$5000,$A109,Cashflows!$C$5:$C$5000,"Gebühr außerhalb der Zusage")+SUMIFS(Cashflows!$D$5:$D$5000,Cashflows!$B$5:$B$5000,$A109,Cashflows!$C$5:$C$5000,"Ausgleichszins"))</f>
      </c>
      <c r="G109" s="25">
        <f>IF($A109="","",SUMIFS(Cashflows!$D$5:$D$5000,Cashflows!$B$5:$B$5000,$A109,Cashflows!$C$5:$C$5000,"Ausschüttung"))</f>
      </c>
      <c r="H109" s="25">
        <f>IF($A109="","",SUMIFS(Cashflows!$E$5:$E$5000,Cashflows!$B$5:$B$5000,$A109,Cashflows!$C$5:$C$5000,"Ausschüttung"))</f>
      </c>
      <c r="I109" s="26">
        <f>IF($A109="","",D109-E109+H109)</f>
      </c>
      <c r="J109" s="25">
        <f>IF($A109="","",SUMIFS(Cashflows!$D$5:$D$5000,Cashflows!$B$5:$B$5000,$A109,Cashflows!$G$5:$G$5000,"Angekündigt",Cashflows!$C$5:$C$5000,"&lt;&gt;Ausschüttung"))</f>
      </c>
      <c r="K109" s="27">
        <f>IF($A109="","",IF(COUNTIFS(Cashflows!$B$5:$B$5000,$A109,Cashflows!$G$5:$G$5000,"Angekündigt",Cashflows!$C$5:$C$5000,"&lt;&gt;Ausschüttung",Cashflows!$F$5:$F$5000,"&gt;0")=0,"",MINIFS(Cashflows!$F$5:$F$5000,Cashflows!$B$5:$B$5000,$A109,Cashflows!$G$5:$G$5000,"Angekündigt",Cashflows!$C$5:$C$5000,"&lt;&gt;Ausschüttung",Cashflows!$F$5:$F$5000,"&gt;0")))</f>
      </c>
      <c r="L109" s="25">
        <f>IF($A109="","",I109+J109)</f>
      </c>
    </row>
    <row r="110" spans="1:12" x14ac:dyDescent="0.25">
      <c r="A110" s="23">
        <f>IF(INDEX(Fonds!$A$1:$A$1000,73)="","",INDEX(Fonds!$A$1:$A$1000,73))</f>
      </c>
      <c r="B110" s="23">
        <f>IF($A110="","",INDEX(Fonds!$B$1:$B$1000,73)&amp;"")</f>
      </c>
      <c r="C110" s="23">
        <f>IF($A110="","",INDEX(Fonds!$D$1:$D$1000,73)&amp;"")</f>
      </c>
      <c r="D110" s="25">
        <f>IF($A110="","",INDEX(Fonds!$E$1:$E$1000,73))</f>
      </c>
      <c r="E110" s="25">
        <f>IF($A110="","",SUMIFS(Cashflows!$D$5:$D$5000,Cashflows!$B$5:$B$5000,$A110,Cashflows!$C$5:$C$5000,"Abruf"))</f>
      </c>
      <c r="F110" s="25">
        <f>IF($A110="","",SUMIFS(Cashflows!$D$5:$D$5000,Cashflows!$B$5:$B$5000,$A110,Cashflows!$C$5:$C$5000,"Gebühr außerhalb der Zusage")+SUMIFS(Cashflows!$D$5:$D$5000,Cashflows!$B$5:$B$5000,$A110,Cashflows!$C$5:$C$5000,"Ausgleichszins"))</f>
      </c>
      <c r="G110" s="25">
        <f>IF($A110="","",SUMIFS(Cashflows!$D$5:$D$5000,Cashflows!$B$5:$B$5000,$A110,Cashflows!$C$5:$C$5000,"Ausschüttung"))</f>
      </c>
      <c r="H110" s="25">
        <f>IF($A110="","",SUMIFS(Cashflows!$E$5:$E$5000,Cashflows!$B$5:$B$5000,$A110,Cashflows!$C$5:$C$5000,"Ausschüttung"))</f>
      </c>
      <c r="I110" s="26">
        <f>IF($A110="","",D110-E110+H110)</f>
      </c>
      <c r="J110" s="25">
        <f>IF($A110="","",SUMIFS(Cashflows!$D$5:$D$5000,Cashflows!$B$5:$B$5000,$A110,Cashflows!$G$5:$G$5000,"Angekündigt",Cashflows!$C$5:$C$5000,"&lt;&gt;Ausschüttung"))</f>
      </c>
      <c r="K110" s="27">
        <f>IF($A110="","",IF(COUNTIFS(Cashflows!$B$5:$B$5000,$A110,Cashflows!$G$5:$G$5000,"Angekündigt",Cashflows!$C$5:$C$5000,"&lt;&gt;Ausschüttung",Cashflows!$F$5:$F$5000,"&gt;0")=0,"",MINIFS(Cashflows!$F$5:$F$5000,Cashflows!$B$5:$B$5000,$A110,Cashflows!$G$5:$G$5000,"Angekündigt",Cashflows!$C$5:$C$5000,"&lt;&gt;Ausschüttung",Cashflows!$F$5:$F$5000,"&gt;0")))</f>
      </c>
      <c r="L110" s="25">
        <f>IF($A110="","",I110+J110)</f>
      </c>
    </row>
    <row r="111" spans="1:12" x14ac:dyDescent="0.25">
      <c r="A111" s="23">
        <f>IF(INDEX(Fonds!$A$1:$A$1000,74)="","",INDEX(Fonds!$A$1:$A$1000,74))</f>
      </c>
      <c r="B111" s="23">
        <f>IF($A111="","",INDEX(Fonds!$B$1:$B$1000,74)&amp;"")</f>
      </c>
      <c r="C111" s="23">
        <f>IF($A111="","",INDEX(Fonds!$D$1:$D$1000,74)&amp;"")</f>
      </c>
      <c r="D111" s="25">
        <f>IF($A111="","",INDEX(Fonds!$E$1:$E$1000,74))</f>
      </c>
      <c r="E111" s="25">
        <f>IF($A111="","",SUMIFS(Cashflows!$D$5:$D$5000,Cashflows!$B$5:$B$5000,$A111,Cashflows!$C$5:$C$5000,"Abruf"))</f>
      </c>
      <c r="F111" s="25">
        <f>IF($A111="","",SUMIFS(Cashflows!$D$5:$D$5000,Cashflows!$B$5:$B$5000,$A111,Cashflows!$C$5:$C$5000,"Gebühr außerhalb der Zusage")+SUMIFS(Cashflows!$D$5:$D$5000,Cashflows!$B$5:$B$5000,$A111,Cashflows!$C$5:$C$5000,"Ausgleichszins"))</f>
      </c>
      <c r="G111" s="25">
        <f>IF($A111="","",SUMIFS(Cashflows!$D$5:$D$5000,Cashflows!$B$5:$B$5000,$A111,Cashflows!$C$5:$C$5000,"Ausschüttung"))</f>
      </c>
      <c r="H111" s="25">
        <f>IF($A111="","",SUMIFS(Cashflows!$E$5:$E$5000,Cashflows!$B$5:$B$5000,$A111,Cashflows!$C$5:$C$5000,"Ausschüttung"))</f>
      </c>
      <c r="I111" s="26">
        <f>IF($A111="","",D111-E111+H111)</f>
      </c>
      <c r="J111" s="25">
        <f>IF($A111="","",SUMIFS(Cashflows!$D$5:$D$5000,Cashflows!$B$5:$B$5000,$A111,Cashflows!$G$5:$G$5000,"Angekündigt",Cashflows!$C$5:$C$5000,"&lt;&gt;Ausschüttung"))</f>
      </c>
      <c r="K111" s="27">
        <f>IF($A111="","",IF(COUNTIFS(Cashflows!$B$5:$B$5000,$A111,Cashflows!$G$5:$G$5000,"Angekündigt",Cashflows!$C$5:$C$5000,"&lt;&gt;Ausschüttung",Cashflows!$F$5:$F$5000,"&gt;0")=0,"",MINIFS(Cashflows!$F$5:$F$5000,Cashflows!$B$5:$B$5000,$A111,Cashflows!$G$5:$G$5000,"Angekündigt",Cashflows!$C$5:$C$5000,"&lt;&gt;Ausschüttung",Cashflows!$F$5:$F$5000,"&gt;0")))</f>
      </c>
      <c r="L111" s="25">
        <f>IF($A111="","",I111+J111)</f>
      </c>
    </row>
    <row r="112" spans="1:12" x14ac:dyDescent="0.25">
      <c r="A112" s="23">
        <f>IF(INDEX(Fonds!$A$1:$A$1000,75)="","",INDEX(Fonds!$A$1:$A$1000,75))</f>
      </c>
      <c r="B112" s="23">
        <f>IF($A112="","",INDEX(Fonds!$B$1:$B$1000,75)&amp;"")</f>
      </c>
      <c r="C112" s="23">
        <f>IF($A112="","",INDEX(Fonds!$D$1:$D$1000,75)&amp;"")</f>
      </c>
      <c r="D112" s="25">
        <f>IF($A112="","",INDEX(Fonds!$E$1:$E$1000,75))</f>
      </c>
      <c r="E112" s="25">
        <f>IF($A112="","",SUMIFS(Cashflows!$D$5:$D$5000,Cashflows!$B$5:$B$5000,$A112,Cashflows!$C$5:$C$5000,"Abruf"))</f>
      </c>
      <c r="F112" s="25">
        <f>IF($A112="","",SUMIFS(Cashflows!$D$5:$D$5000,Cashflows!$B$5:$B$5000,$A112,Cashflows!$C$5:$C$5000,"Gebühr außerhalb der Zusage")+SUMIFS(Cashflows!$D$5:$D$5000,Cashflows!$B$5:$B$5000,$A112,Cashflows!$C$5:$C$5000,"Ausgleichszins"))</f>
      </c>
      <c r="G112" s="25">
        <f>IF($A112="","",SUMIFS(Cashflows!$D$5:$D$5000,Cashflows!$B$5:$B$5000,$A112,Cashflows!$C$5:$C$5000,"Ausschüttung"))</f>
      </c>
      <c r="H112" s="25">
        <f>IF($A112="","",SUMIFS(Cashflows!$E$5:$E$5000,Cashflows!$B$5:$B$5000,$A112,Cashflows!$C$5:$C$5000,"Ausschüttung"))</f>
      </c>
      <c r="I112" s="26">
        <f>IF($A112="","",D112-E112+H112)</f>
      </c>
      <c r="J112" s="25">
        <f>IF($A112="","",SUMIFS(Cashflows!$D$5:$D$5000,Cashflows!$B$5:$B$5000,$A112,Cashflows!$G$5:$G$5000,"Angekündigt",Cashflows!$C$5:$C$5000,"&lt;&gt;Ausschüttung"))</f>
      </c>
      <c r="K112" s="27">
        <f>IF($A112="","",IF(COUNTIFS(Cashflows!$B$5:$B$5000,$A112,Cashflows!$G$5:$G$5000,"Angekündigt",Cashflows!$C$5:$C$5000,"&lt;&gt;Ausschüttung",Cashflows!$F$5:$F$5000,"&gt;0")=0,"",MINIFS(Cashflows!$F$5:$F$5000,Cashflows!$B$5:$B$5000,$A112,Cashflows!$G$5:$G$5000,"Angekündigt",Cashflows!$C$5:$C$5000,"&lt;&gt;Ausschüttung",Cashflows!$F$5:$F$5000,"&gt;0")))</f>
      </c>
      <c r="L112" s="25">
        <f>IF($A112="","",I112+J112)</f>
      </c>
    </row>
    <row r="113" spans="1:12" x14ac:dyDescent="0.25">
      <c r="A113" s="23">
        <f>IF(INDEX(Fonds!$A$1:$A$1000,76)="","",INDEX(Fonds!$A$1:$A$1000,76))</f>
      </c>
      <c r="B113" s="23">
        <f>IF($A113="","",INDEX(Fonds!$B$1:$B$1000,76)&amp;"")</f>
      </c>
      <c r="C113" s="23">
        <f>IF($A113="","",INDEX(Fonds!$D$1:$D$1000,76)&amp;"")</f>
      </c>
      <c r="D113" s="25">
        <f>IF($A113="","",INDEX(Fonds!$E$1:$E$1000,76))</f>
      </c>
      <c r="E113" s="25">
        <f>IF($A113="","",SUMIFS(Cashflows!$D$5:$D$5000,Cashflows!$B$5:$B$5000,$A113,Cashflows!$C$5:$C$5000,"Abruf"))</f>
      </c>
      <c r="F113" s="25">
        <f>IF($A113="","",SUMIFS(Cashflows!$D$5:$D$5000,Cashflows!$B$5:$B$5000,$A113,Cashflows!$C$5:$C$5000,"Gebühr außerhalb der Zusage")+SUMIFS(Cashflows!$D$5:$D$5000,Cashflows!$B$5:$B$5000,$A113,Cashflows!$C$5:$C$5000,"Ausgleichszins"))</f>
      </c>
      <c r="G113" s="25">
        <f>IF($A113="","",SUMIFS(Cashflows!$D$5:$D$5000,Cashflows!$B$5:$B$5000,$A113,Cashflows!$C$5:$C$5000,"Ausschüttung"))</f>
      </c>
      <c r="H113" s="25">
        <f>IF($A113="","",SUMIFS(Cashflows!$E$5:$E$5000,Cashflows!$B$5:$B$5000,$A113,Cashflows!$C$5:$C$5000,"Ausschüttung"))</f>
      </c>
      <c r="I113" s="26">
        <f>IF($A113="","",D113-E113+H113)</f>
      </c>
      <c r="J113" s="25">
        <f>IF($A113="","",SUMIFS(Cashflows!$D$5:$D$5000,Cashflows!$B$5:$B$5000,$A113,Cashflows!$G$5:$G$5000,"Angekündigt",Cashflows!$C$5:$C$5000,"&lt;&gt;Ausschüttung"))</f>
      </c>
      <c r="K113" s="27">
        <f>IF($A113="","",IF(COUNTIFS(Cashflows!$B$5:$B$5000,$A113,Cashflows!$G$5:$G$5000,"Angekündigt",Cashflows!$C$5:$C$5000,"&lt;&gt;Ausschüttung",Cashflows!$F$5:$F$5000,"&gt;0")=0,"",MINIFS(Cashflows!$F$5:$F$5000,Cashflows!$B$5:$B$5000,$A113,Cashflows!$G$5:$G$5000,"Angekündigt",Cashflows!$C$5:$C$5000,"&lt;&gt;Ausschüttung",Cashflows!$F$5:$F$5000,"&gt;0")))</f>
      </c>
      <c r="L113" s="25">
        <f>IF($A113="","",I113+J113)</f>
      </c>
    </row>
    <row r="114" spans="1:12" x14ac:dyDescent="0.25">
      <c r="A114" s="23">
        <f>IF(INDEX(Fonds!$A$1:$A$1000,77)="","",INDEX(Fonds!$A$1:$A$1000,77))</f>
      </c>
      <c r="B114" s="23">
        <f>IF($A114="","",INDEX(Fonds!$B$1:$B$1000,77)&amp;"")</f>
      </c>
      <c r="C114" s="23">
        <f>IF($A114="","",INDEX(Fonds!$D$1:$D$1000,77)&amp;"")</f>
      </c>
      <c r="D114" s="25">
        <f>IF($A114="","",INDEX(Fonds!$E$1:$E$1000,77))</f>
      </c>
      <c r="E114" s="25">
        <f>IF($A114="","",SUMIFS(Cashflows!$D$5:$D$5000,Cashflows!$B$5:$B$5000,$A114,Cashflows!$C$5:$C$5000,"Abruf"))</f>
      </c>
      <c r="F114" s="25">
        <f>IF($A114="","",SUMIFS(Cashflows!$D$5:$D$5000,Cashflows!$B$5:$B$5000,$A114,Cashflows!$C$5:$C$5000,"Gebühr außerhalb der Zusage")+SUMIFS(Cashflows!$D$5:$D$5000,Cashflows!$B$5:$B$5000,$A114,Cashflows!$C$5:$C$5000,"Ausgleichszins"))</f>
      </c>
      <c r="G114" s="25">
        <f>IF($A114="","",SUMIFS(Cashflows!$D$5:$D$5000,Cashflows!$B$5:$B$5000,$A114,Cashflows!$C$5:$C$5000,"Ausschüttung"))</f>
      </c>
      <c r="H114" s="25">
        <f>IF($A114="","",SUMIFS(Cashflows!$E$5:$E$5000,Cashflows!$B$5:$B$5000,$A114,Cashflows!$C$5:$C$5000,"Ausschüttung"))</f>
      </c>
      <c r="I114" s="26">
        <f>IF($A114="","",D114-E114+H114)</f>
      </c>
      <c r="J114" s="25">
        <f>IF($A114="","",SUMIFS(Cashflows!$D$5:$D$5000,Cashflows!$B$5:$B$5000,$A114,Cashflows!$G$5:$G$5000,"Angekündigt",Cashflows!$C$5:$C$5000,"&lt;&gt;Ausschüttung"))</f>
      </c>
      <c r="K114" s="27">
        <f>IF($A114="","",IF(COUNTIFS(Cashflows!$B$5:$B$5000,$A114,Cashflows!$G$5:$G$5000,"Angekündigt",Cashflows!$C$5:$C$5000,"&lt;&gt;Ausschüttung",Cashflows!$F$5:$F$5000,"&gt;0")=0,"",MINIFS(Cashflows!$F$5:$F$5000,Cashflows!$B$5:$B$5000,$A114,Cashflows!$G$5:$G$5000,"Angekündigt",Cashflows!$C$5:$C$5000,"&lt;&gt;Ausschüttung",Cashflows!$F$5:$F$5000,"&gt;0")))</f>
      </c>
      <c r="L114" s="25">
        <f>IF($A114="","",I114+J114)</f>
      </c>
    </row>
    <row r="115" spans="1:12" x14ac:dyDescent="0.25">
      <c r="A115" s="23">
        <f>IF(INDEX(Fonds!$A$1:$A$1000,78)="","",INDEX(Fonds!$A$1:$A$1000,78))</f>
      </c>
      <c r="B115" s="23">
        <f>IF($A115="","",INDEX(Fonds!$B$1:$B$1000,78)&amp;"")</f>
      </c>
      <c r="C115" s="23">
        <f>IF($A115="","",INDEX(Fonds!$D$1:$D$1000,78)&amp;"")</f>
      </c>
      <c r="D115" s="25">
        <f>IF($A115="","",INDEX(Fonds!$E$1:$E$1000,78))</f>
      </c>
      <c r="E115" s="25">
        <f>IF($A115="","",SUMIFS(Cashflows!$D$5:$D$5000,Cashflows!$B$5:$B$5000,$A115,Cashflows!$C$5:$C$5000,"Abruf"))</f>
      </c>
      <c r="F115" s="25">
        <f>IF($A115="","",SUMIFS(Cashflows!$D$5:$D$5000,Cashflows!$B$5:$B$5000,$A115,Cashflows!$C$5:$C$5000,"Gebühr außerhalb der Zusage")+SUMIFS(Cashflows!$D$5:$D$5000,Cashflows!$B$5:$B$5000,$A115,Cashflows!$C$5:$C$5000,"Ausgleichszins"))</f>
      </c>
      <c r="G115" s="25">
        <f>IF($A115="","",SUMIFS(Cashflows!$D$5:$D$5000,Cashflows!$B$5:$B$5000,$A115,Cashflows!$C$5:$C$5000,"Ausschüttung"))</f>
      </c>
      <c r="H115" s="25">
        <f>IF($A115="","",SUMIFS(Cashflows!$E$5:$E$5000,Cashflows!$B$5:$B$5000,$A115,Cashflows!$C$5:$C$5000,"Ausschüttung"))</f>
      </c>
      <c r="I115" s="26">
        <f>IF($A115="","",D115-E115+H115)</f>
      </c>
      <c r="J115" s="25">
        <f>IF($A115="","",SUMIFS(Cashflows!$D$5:$D$5000,Cashflows!$B$5:$B$5000,$A115,Cashflows!$G$5:$G$5000,"Angekündigt",Cashflows!$C$5:$C$5000,"&lt;&gt;Ausschüttung"))</f>
      </c>
      <c r="K115" s="27">
        <f>IF($A115="","",IF(COUNTIFS(Cashflows!$B$5:$B$5000,$A115,Cashflows!$G$5:$G$5000,"Angekündigt",Cashflows!$C$5:$C$5000,"&lt;&gt;Ausschüttung",Cashflows!$F$5:$F$5000,"&gt;0")=0,"",MINIFS(Cashflows!$F$5:$F$5000,Cashflows!$B$5:$B$5000,$A115,Cashflows!$G$5:$G$5000,"Angekündigt",Cashflows!$C$5:$C$5000,"&lt;&gt;Ausschüttung",Cashflows!$F$5:$F$5000,"&gt;0")))</f>
      </c>
      <c r="L115" s="25">
        <f>IF($A115="","",I115+J115)</f>
      </c>
    </row>
    <row r="116" spans="1:12" x14ac:dyDescent="0.25">
      <c r="A116" s="23">
        <f>IF(INDEX(Fonds!$A$1:$A$1000,79)="","",INDEX(Fonds!$A$1:$A$1000,79))</f>
      </c>
      <c r="B116" s="23">
        <f>IF($A116="","",INDEX(Fonds!$B$1:$B$1000,79)&amp;"")</f>
      </c>
      <c r="C116" s="23">
        <f>IF($A116="","",INDEX(Fonds!$D$1:$D$1000,79)&amp;"")</f>
      </c>
      <c r="D116" s="25">
        <f>IF($A116="","",INDEX(Fonds!$E$1:$E$1000,79))</f>
      </c>
      <c r="E116" s="25">
        <f>IF($A116="","",SUMIFS(Cashflows!$D$5:$D$5000,Cashflows!$B$5:$B$5000,$A116,Cashflows!$C$5:$C$5000,"Abruf"))</f>
      </c>
      <c r="F116" s="25">
        <f>IF($A116="","",SUMIFS(Cashflows!$D$5:$D$5000,Cashflows!$B$5:$B$5000,$A116,Cashflows!$C$5:$C$5000,"Gebühr außerhalb der Zusage")+SUMIFS(Cashflows!$D$5:$D$5000,Cashflows!$B$5:$B$5000,$A116,Cashflows!$C$5:$C$5000,"Ausgleichszins"))</f>
      </c>
      <c r="G116" s="25">
        <f>IF($A116="","",SUMIFS(Cashflows!$D$5:$D$5000,Cashflows!$B$5:$B$5000,$A116,Cashflows!$C$5:$C$5000,"Ausschüttung"))</f>
      </c>
      <c r="H116" s="25">
        <f>IF($A116="","",SUMIFS(Cashflows!$E$5:$E$5000,Cashflows!$B$5:$B$5000,$A116,Cashflows!$C$5:$C$5000,"Ausschüttung"))</f>
      </c>
      <c r="I116" s="26">
        <f>IF($A116="","",D116-E116+H116)</f>
      </c>
      <c r="J116" s="25">
        <f>IF($A116="","",SUMIFS(Cashflows!$D$5:$D$5000,Cashflows!$B$5:$B$5000,$A116,Cashflows!$G$5:$G$5000,"Angekündigt",Cashflows!$C$5:$C$5000,"&lt;&gt;Ausschüttung"))</f>
      </c>
      <c r="K116" s="27">
        <f>IF($A116="","",IF(COUNTIFS(Cashflows!$B$5:$B$5000,$A116,Cashflows!$G$5:$G$5000,"Angekündigt",Cashflows!$C$5:$C$5000,"&lt;&gt;Ausschüttung",Cashflows!$F$5:$F$5000,"&gt;0")=0,"",MINIFS(Cashflows!$F$5:$F$5000,Cashflows!$B$5:$B$5000,$A116,Cashflows!$G$5:$G$5000,"Angekündigt",Cashflows!$C$5:$C$5000,"&lt;&gt;Ausschüttung",Cashflows!$F$5:$F$5000,"&gt;0")))</f>
      </c>
      <c r="L116" s="25">
        <f>IF($A116="","",I116+J116)</f>
      </c>
    </row>
    <row r="117" spans="1:12" x14ac:dyDescent="0.25">
      <c r="A117" s="23">
        <f>IF(INDEX(Fonds!$A$1:$A$1000,80)="","",INDEX(Fonds!$A$1:$A$1000,80))</f>
      </c>
      <c r="B117" s="23">
        <f>IF($A117="","",INDEX(Fonds!$B$1:$B$1000,80)&amp;"")</f>
      </c>
      <c r="C117" s="23">
        <f>IF($A117="","",INDEX(Fonds!$D$1:$D$1000,80)&amp;"")</f>
      </c>
      <c r="D117" s="25">
        <f>IF($A117="","",INDEX(Fonds!$E$1:$E$1000,80))</f>
      </c>
      <c r="E117" s="25">
        <f>IF($A117="","",SUMIFS(Cashflows!$D$5:$D$5000,Cashflows!$B$5:$B$5000,$A117,Cashflows!$C$5:$C$5000,"Abruf"))</f>
      </c>
      <c r="F117" s="25">
        <f>IF($A117="","",SUMIFS(Cashflows!$D$5:$D$5000,Cashflows!$B$5:$B$5000,$A117,Cashflows!$C$5:$C$5000,"Gebühr außerhalb der Zusage")+SUMIFS(Cashflows!$D$5:$D$5000,Cashflows!$B$5:$B$5000,$A117,Cashflows!$C$5:$C$5000,"Ausgleichszins"))</f>
      </c>
      <c r="G117" s="25">
        <f>IF($A117="","",SUMIFS(Cashflows!$D$5:$D$5000,Cashflows!$B$5:$B$5000,$A117,Cashflows!$C$5:$C$5000,"Ausschüttung"))</f>
      </c>
      <c r="H117" s="25">
        <f>IF($A117="","",SUMIFS(Cashflows!$E$5:$E$5000,Cashflows!$B$5:$B$5000,$A117,Cashflows!$C$5:$C$5000,"Ausschüttung"))</f>
      </c>
      <c r="I117" s="26">
        <f>IF($A117="","",D117-E117+H117)</f>
      </c>
      <c r="J117" s="25">
        <f>IF($A117="","",SUMIFS(Cashflows!$D$5:$D$5000,Cashflows!$B$5:$B$5000,$A117,Cashflows!$G$5:$G$5000,"Angekündigt",Cashflows!$C$5:$C$5000,"&lt;&gt;Ausschüttung"))</f>
      </c>
      <c r="K117" s="27">
        <f>IF($A117="","",IF(COUNTIFS(Cashflows!$B$5:$B$5000,$A117,Cashflows!$G$5:$G$5000,"Angekündigt",Cashflows!$C$5:$C$5000,"&lt;&gt;Ausschüttung",Cashflows!$F$5:$F$5000,"&gt;0")=0,"",MINIFS(Cashflows!$F$5:$F$5000,Cashflows!$B$5:$B$5000,$A117,Cashflows!$G$5:$G$5000,"Angekündigt",Cashflows!$C$5:$C$5000,"&lt;&gt;Ausschüttung",Cashflows!$F$5:$F$5000,"&gt;0")))</f>
      </c>
      <c r="L117" s="25">
        <f>IF($A117="","",I117+J117)</f>
      </c>
    </row>
    <row r="118" spans="1:12" x14ac:dyDescent="0.25">
      <c r="A118" s="23">
        <f>IF(INDEX(Fonds!$A$1:$A$1000,81)="","",INDEX(Fonds!$A$1:$A$1000,81))</f>
      </c>
      <c r="B118" s="23">
        <f>IF($A118="","",INDEX(Fonds!$B$1:$B$1000,81)&amp;"")</f>
      </c>
      <c r="C118" s="23">
        <f>IF($A118="","",INDEX(Fonds!$D$1:$D$1000,81)&amp;"")</f>
      </c>
      <c r="D118" s="25">
        <f>IF($A118="","",INDEX(Fonds!$E$1:$E$1000,81))</f>
      </c>
      <c r="E118" s="25">
        <f>IF($A118="","",SUMIFS(Cashflows!$D$5:$D$5000,Cashflows!$B$5:$B$5000,$A118,Cashflows!$C$5:$C$5000,"Abruf"))</f>
      </c>
      <c r="F118" s="25">
        <f>IF($A118="","",SUMIFS(Cashflows!$D$5:$D$5000,Cashflows!$B$5:$B$5000,$A118,Cashflows!$C$5:$C$5000,"Gebühr außerhalb der Zusage")+SUMIFS(Cashflows!$D$5:$D$5000,Cashflows!$B$5:$B$5000,$A118,Cashflows!$C$5:$C$5000,"Ausgleichszins"))</f>
      </c>
      <c r="G118" s="25">
        <f>IF($A118="","",SUMIFS(Cashflows!$D$5:$D$5000,Cashflows!$B$5:$B$5000,$A118,Cashflows!$C$5:$C$5000,"Ausschüttung"))</f>
      </c>
      <c r="H118" s="25">
        <f>IF($A118="","",SUMIFS(Cashflows!$E$5:$E$5000,Cashflows!$B$5:$B$5000,$A118,Cashflows!$C$5:$C$5000,"Ausschüttung"))</f>
      </c>
      <c r="I118" s="26">
        <f>IF($A118="","",D118-E118+H118)</f>
      </c>
      <c r="J118" s="25">
        <f>IF($A118="","",SUMIFS(Cashflows!$D$5:$D$5000,Cashflows!$B$5:$B$5000,$A118,Cashflows!$G$5:$G$5000,"Angekündigt",Cashflows!$C$5:$C$5000,"&lt;&gt;Ausschüttung"))</f>
      </c>
      <c r="K118" s="27">
        <f>IF($A118="","",IF(COUNTIFS(Cashflows!$B$5:$B$5000,$A118,Cashflows!$G$5:$G$5000,"Angekündigt",Cashflows!$C$5:$C$5000,"&lt;&gt;Ausschüttung",Cashflows!$F$5:$F$5000,"&gt;0")=0,"",MINIFS(Cashflows!$F$5:$F$5000,Cashflows!$B$5:$B$5000,$A118,Cashflows!$G$5:$G$5000,"Angekündigt",Cashflows!$C$5:$C$5000,"&lt;&gt;Ausschüttung",Cashflows!$F$5:$F$5000,"&gt;0")))</f>
      </c>
      <c r="L118" s="25">
        <f>IF($A118="","",I118+J118)</f>
      </c>
    </row>
    <row r="119" spans="1:12" x14ac:dyDescent="0.25">
      <c r="A119" s="23">
        <f>IF(INDEX(Fonds!$A$1:$A$1000,82)="","",INDEX(Fonds!$A$1:$A$1000,82))</f>
      </c>
      <c r="B119" s="23">
        <f>IF($A119="","",INDEX(Fonds!$B$1:$B$1000,82)&amp;"")</f>
      </c>
      <c r="C119" s="23">
        <f>IF($A119="","",INDEX(Fonds!$D$1:$D$1000,82)&amp;"")</f>
      </c>
      <c r="D119" s="25">
        <f>IF($A119="","",INDEX(Fonds!$E$1:$E$1000,82))</f>
      </c>
      <c r="E119" s="25">
        <f>IF($A119="","",SUMIFS(Cashflows!$D$5:$D$5000,Cashflows!$B$5:$B$5000,$A119,Cashflows!$C$5:$C$5000,"Abruf"))</f>
      </c>
      <c r="F119" s="25">
        <f>IF($A119="","",SUMIFS(Cashflows!$D$5:$D$5000,Cashflows!$B$5:$B$5000,$A119,Cashflows!$C$5:$C$5000,"Gebühr außerhalb der Zusage")+SUMIFS(Cashflows!$D$5:$D$5000,Cashflows!$B$5:$B$5000,$A119,Cashflows!$C$5:$C$5000,"Ausgleichszins"))</f>
      </c>
      <c r="G119" s="25">
        <f>IF($A119="","",SUMIFS(Cashflows!$D$5:$D$5000,Cashflows!$B$5:$B$5000,$A119,Cashflows!$C$5:$C$5000,"Ausschüttung"))</f>
      </c>
      <c r="H119" s="25">
        <f>IF($A119="","",SUMIFS(Cashflows!$E$5:$E$5000,Cashflows!$B$5:$B$5000,$A119,Cashflows!$C$5:$C$5000,"Ausschüttung"))</f>
      </c>
      <c r="I119" s="26">
        <f>IF($A119="","",D119-E119+H119)</f>
      </c>
      <c r="J119" s="25">
        <f>IF($A119="","",SUMIFS(Cashflows!$D$5:$D$5000,Cashflows!$B$5:$B$5000,$A119,Cashflows!$G$5:$G$5000,"Angekündigt",Cashflows!$C$5:$C$5000,"&lt;&gt;Ausschüttung"))</f>
      </c>
      <c r="K119" s="27">
        <f>IF($A119="","",IF(COUNTIFS(Cashflows!$B$5:$B$5000,$A119,Cashflows!$G$5:$G$5000,"Angekündigt",Cashflows!$C$5:$C$5000,"&lt;&gt;Ausschüttung",Cashflows!$F$5:$F$5000,"&gt;0")=0,"",MINIFS(Cashflows!$F$5:$F$5000,Cashflows!$B$5:$B$5000,$A119,Cashflows!$G$5:$G$5000,"Angekündigt",Cashflows!$C$5:$C$5000,"&lt;&gt;Ausschüttung",Cashflows!$F$5:$F$5000,"&gt;0")))</f>
      </c>
      <c r="L119" s="25">
        <f>IF($A119="","",I119+J119)</f>
      </c>
    </row>
    <row r="120" spans="1:12" x14ac:dyDescent="0.25">
      <c r="A120" s="23">
        <f>IF(INDEX(Fonds!$A$1:$A$1000,83)="","",INDEX(Fonds!$A$1:$A$1000,83))</f>
      </c>
      <c r="B120" s="23">
        <f>IF($A120="","",INDEX(Fonds!$B$1:$B$1000,83)&amp;"")</f>
      </c>
      <c r="C120" s="23">
        <f>IF($A120="","",INDEX(Fonds!$D$1:$D$1000,83)&amp;"")</f>
      </c>
      <c r="D120" s="25">
        <f>IF($A120="","",INDEX(Fonds!$E$1:$E$1000,83))</f>
      </c>
      <c r="E120" s="25">
        <f>IF($A120="","",SUMIFS(Cashflows!$D$5:$D$5000,Cashflows!$B$5:$B$5000,$A120,Cashflows!$C$5:$C$5000,"Abruf"))</f>
      </c>
      <c r="F120" s="25">
        <f>IF($A120="","",SUMIFS(Cashflows!$D$5:$D$5000,Cashflows!$B$5:$B$5000,$A120,Cashflows!$C$5:$C$5000,"Gebühr außerhalb der Zusage")+SUMIFS(Cashflows!$D$5:$D$5000,Cashflows!$B$5:$B$5000,$A120,Cashflows!$C$5:$C$5000,"Ausgleichszins"))</f>
      </c>
      <c r="G120" s="25">
        <f>IF($A120="","",SUMIFS(Cashflows!$D$5:$D$5000,Cashflows!$B$5:$B$5000,$A120,Cashflows!$C$5:$C$5000,"Ausschüttung"))</f>
      </c>
      <c r="H120" s="25">
        <f>IF($A120="","",SUMIFS(Cashflows!$E$5:$E$5000,Cashflows!$B$5:$B$5000,$A120,Cashflows!$C$5:$C$5000,"Ausschüttung"))</f>
      </c>
      <c r="I120" s="26">
        <f>IF($A120="","",D120-E120+H120)</f>
      </c>
      <c r="J120" s="25">
        <f>IF($A120="","",SUMIFS(Cashflows!$D$5:$D$5000,Cashflows!$B$5:$B$5000,$A120,Cashflows!$G$5:$G$5000,"Angekündigt",Cashflows!$C$5:$C$5000,"&lt;&gt;Ausschüttung"))</f>
      </c>
      <c r="K120" s="27">
        <f>IF($A120="","",IF(COUNTIFS(Cashflows!$B$5:$B$5000,$A120,Cashflows!$G$5:$G$5000,"Angekündigt",Cashflows!$C$5:$C$5000,"&lt;&gt;Ausschüttung",Cashflows!$F$5:$F$5000,"&gt;0")=0,"",MINIFS(Cashflows!$F$5:$F$5000,Cashflows!$B$5:$B$5000,$A120,Cashflows!$G$5:$G$5000,"Angekündigt",Cashflows!$C$5:$C$5000,"&lt;&gt;Ausschüttung",Cashflows!$F$5:$F$5000,"&gt;0")))</f>
      </c>
      <c r="L120" s="25">
        <f>IF($A120="","",I120+J120)</f>
      </c>
    </row>
    <row r="121" spans="1:12" x14ac:dyDescent="0.25">
      <c r="A121" s="23">
        <f>IF(INDEX(Fonds!$A$1:$A$1000,84)="","",INDEX(Fonds!$A$1:$A$1000,84))</f>
      </c>
      <c r="B121" s="23">
        <f>IF($A121="","",INDEX(Fonds!$B$1:$B$1000,84)&amp;"")</f>
      </c>
      <c r="C121" s="23">
        <f>IF($A121="","",INDEX(Fonds!$D$1:$D$1000,84)&amp;"")</f>
      </c>
      <c r="D121" s="25">
        <f>IF($A121="","",INDEX(Fonds!$E$1:$E$1000,84))</f>
      </c>
      <c r="E121" s="25">
        <f>IF($A121="","",SUMIFS(Cashflows!$D$5:$D$5000,Cashflows!$B$5:$B$5000,$A121,Cashflows!$C$5:$C$5000,"Abruf"))</f>
      </c>
      <c r="F121" s="25">
        <f>IF($A121="","",SUMIFS(Cashflows!$D$5:$D$5000,Cashflows!$B$5:$B$5000,$A121,Cashflows!$C$5:$C$5000,"Gebühr außerhalb der Zusage")+SUMIFS(Cashflows!$D$5:$D$5000,Cashflows!$B$5:$B$5000,$A121,Cashflows!$C$5:$C$5000,"Ausgleichszins"))</f>
      </c>
      <c r="G121" s="25">
        <f>IF($A121="","",SUMIFS(Cashflows!$D$5:$D$5000,Cashflows!$B$5:$B$5000,$A121,Cashflows!$C$5:$C$5000,"Ausschüttung"))</f>
      </c>
      <c r="H121" s="25">
        <f>IF($A121="","",SUMIFS(Cashflows!$E$5:$E$5000,Cashflows!$B$5:$B$5000,$A121,Cashflows!$C$5:$C$5000,"Ausschüttung"))</f>
      </c>
      <c r="I121" s="26">
        <f>IF($A121="","",D121-E121+H121)</f>
      </c>
      <c r="J121" s="25">
        <f>IF($A121="","",SUMIFS(Cashflows!$D$5:$D$5000,Cashflows!$B$5:$B$5000,$A121,Cashflows!$G$5:$G$5000,"Angekündigt",Cashflows!$C$5:$C$5000,"&lt;&gt;Ausschüttung"))</f>
      </c>
      <c r="K121" s="27">
        <f>IF($A121="","",IF(COUNTIFS(Cashflows!$B$5:$B$5000,$A121,Cashflows!$G$5:$G$5000,"Angekündigt",Cashflows!$C$5:$C$5000,"&lt;&gt;Ausschüttung",Cashflows!$F$5:$F$5000,"&gt;0")=0,"",MINIFS(Cashflows!$F$5:$F$5000,Cashflows!$B$5:$B$5000,$A121,Cashflows!$G$5:$G$5000,"Angekündigt",Cashflows!$C$5:$C$5000,"&lt;&gt;Ausschüttung",Cashflows!$F$5:$F$5000,"&gt;0")))</f>
      </c>
      <c r="L121" s="25">
        <f>IF($A121="","",I121+J121)</f>
      </c>
    </row>
    <row r="122" spans="1:12" x14ac:dyDescent="0.25">
      <c r="A122" s="23">
        <f>IF(INDEX(Fonds!$A$1:$A$1000,85)="","",INDEX(Fonds!$A$1:$A$1000,85))</f>
      </c>
      <c r="B122" s="23">
        <f>IF($A122="","",INDEX(Fonds!$B$1:$B$1000,85)&amp;"")</f>
      </c>
      <c r="C122" s="23">
        <f>IF($A122="","",INDEX(Fonds!$D$1:$D$1000,85)&amp;"")</f>
      </c>
      <c r="D122" s="25">
        <f>IF($A122="","",INDEX(Fonds!$E$1:$E$1000,85))</f>
      </c>
      <c r="E122" s="25">
        <f>IF($A122="","",SUMIFS(Cashflows!$D$5:$D$5000,Cashflows!$B$5:$B$5000,$A122,Cashflows!$C$5:$C$5000,"Abruf"))</f>
      </c>
      <c r="F122" s="25">
        <f>IF($A122="","",SUMIFS(Cashflows!$D$5:$D$5000,Cashflows!$B$5:$B$5000,$A122,Cashflows!$C$5:$C$5000,"Gebühr außerhalb der Zusage")+SUMIFS(Cashflows!$D$5:$D$5000,Cashflows!$B$5:$B$5000,$A122,Cashflows!$C$5:$C$5000,"Ausgleichszins"))</f>
      </c>
      <c r="G122" s="25">
        <f>IF($A122="","",SUMIFS(Cashflows!$D$5:$D$5000,Cashflows!$B$5:$B$5000,$A122,Cashflows!$C$5:$C$5000,"Ausschüttung"))</f>
      </c>
      <c r="H122" s="25">
        <f>IF($A122="","",SUMIFS(Cashflows!$E$5:$E$5000,Cashflows!$B$5:$B$5000,$A122,Cashflows!$C$5:$C$5000,"Ausschüttung"))</f>
      </c>
      <c r="I122" s="26">
        <f>IF($A122="","",D122-E122+H122)</f>
      </c>
      <c r="J122" s="25">
        <f>IF($A122="","",SUMIFS(Cashflows!$D$5:$D$5000,Cashflows!$B$5:$B$5000,$A122,Cashflows!$G$5:$G$5000,"Angekündigt",Cashflows!$C$5:$C$5000,"&lt;&gt;Ausschüttung"))</f>
      </c>
      <c r="K122" s="27">
        <f>IF($A122="","",IF(COUNTIFS(Cashflows!$B$5:$B$5000,$A122,Cashflows!$G$5:$G$5000,"Angekündigt",Cashflows!$C$5:$C$5000,"&lt;&gt;Ausschüttung",Cashflows!$F$5:$F$5000,"&gt;0")=0,"",MINIFS(Cashflows!$F$5:$F$5000,Cashflows!$B$5:$B$5000,$A122,Cashflows!$G$5:$G$5000,"Angekündigt",Cashflows!$C$5:$C$5000,"&lt;&gt;Ausschüttung",Cashflows!$F$5:$F$5000,"&gt;0")))</f>
      </c>
      <c r="L122" s="25">
        <f>IF($A122="","",I122+J122)</f>
      </c>
    </row>
    <row r="123" spans="1:12" x14ac:dyDescent="0.25">
      <c r="A123" s="23">
        <f>IF(INDEX(Fonds!$A$1:$A$1000,86)="","",INDEX(Fonds!$A$1:$A$1000,86))</f>
      </c>
      <c r="B123" s="23">
        <f>IF($A123="","",INDEX(Fonds!$B$1:$B$1000,86)&amp;"")</f>
      </c>
      <c r="C123" s="23">
        <f>IF($A123="","",INDEX(Fonds!$D$1:$D$1000,86)&amp;"")</f>
      </c>
      <c r="D123" s="25">
        <f>IF($A123="","",INDEX(Fonds!$E$1:$E$1000,86))</f>
      </c>
      <c r="E123" s="25">
        <f>IF($A123="","",SUMIFS(Cashflows!$D$5:$D$5000,Cashflows!$B$5:$B$5000,$A123,Cashflows!$C$5:$C$5000,"Abruf"))</f>
      </c>
      <c r="F123" s="25">
        <f>IF($A123="","",SUMIFS(Cashflows!$D$5:$D$5000,Cashflows!$B$5:$B$5000,$A123,Cashflows!$C$5:$C$5000,"Gebühr außerhalb der Zusage")+SUMIFS(Cashflows!$D$5:$D$5000,Cashflows!$B$5:$B$5000,$A123,Cashflows!$C$5:$C$5000,"Ausgleichszins"))</f>
      </c>
      <c r="G123" s="25">
        <f>IF($A123="","",SUMIFS(Cashflows!$D$5:$D$5000,Cashflows!$B$5:$B$5000,$A123,Cashflows!$C$5:$C$5000,"Ausschüttung"))</f>
      </c>
      <c r="H123" s="25">
        <f>IF($A123="","",SUMIFS(Cashflows!$E$5:$E$5000,Cashflows!$B$5:$B$5000,$A123,Cashflows!$C$5:$C$5000,"Ausschüttung"))</f>
      </c>
      <c r="I123" s="26">
        <f>IF($A123="","",D123-E123+H123)</f>
      </c>
      <c r="J123" s="25">
        <f>IF($A123="","",SUMIFS(Cashflows!$D$5:$D$5000,Cashflows!$B$5:$B$5000,$A123,Cashflows!$G$5:$G$5000,"Angekündigt",Cashflows!$C$5:$C$5000,"&lt;&gt;Ausschüttung"))</f>
      </c>
      <c r="K123" s="27">
        <f>IF($A123="","",IF(COUNTIFS(Cashflows!$B$5:$B$5000,$A123,Cashflows!$G$5:$G$5000,"Angekündigt",Cashflows!$C$5:$C$5000,"&lt;&gt;Ausschüttung",Cashflows!$F$5:$F$5000,"&gt;0")=0,"",MINIFS(Cashflows!$F$5:$F$5000,Cashflows!$B$5:$B$5000,$A123,Cashflows!$G$5:$G$5000,"Angekündigt",Cashflows!$C$5:$C$5000,"&lt;&gt;Ausschüttung",Cashflows!$F$5:$F$5000,"&gt;0")))</f>
      </c>
      <c r="L123" s="25">
        <f>IF($A123="","",I123+J123)</f>
      </c>
    </row>
    <row r="124" spans="1:12" x14ac:dyDescent="0.25">
      <c r="A124" s="23">
        <f>IF(INDEX(Fonds!$A$1:$A$1000,87)="","",INDEX(Fonds!$A$1:$A$1000,87))</f>
      </c>
      <c r="B124" s="23">
        <f>IF($A124="","",INDEX(Fonds!$B$1:$B$1000,87)&amp;"")</f>
      </c>
      <c r="C124" s="23">
        <f>IF($A124="","",INDEX(Fonds!$D$1:$D$1000,87)&amp;"")</f>
      </c>
      <c r="D124" s="25">
        <f>IF($A124="","",INDEX(Fonds!$E$1:$E$1000,87))</f>
      </c>
      <c r="E124" s="25">
        <f>IF($A124="","",SUMIFS(Cashflows!$D$5:$D$5000,Cashflows!$B$5:$B$5000,$A124,Cashflows!$C$5:$C$5000,"Abruf"))</f>
      </c>
      <c r="F124" s="25">
        <f>IF($A124="","",SUMIFS(Cashflows!$D$5:$D$5000,Cashflows!$B$5:$B$5000,$A124,Cashflows!$C$5:$C$5000,"Gebühr außerhalb der Zusage")+SUMIFS(Cashflows!$D$5:$D$5000,Cashflows!$B$5:$B$5000,$A124,Cashflows!$C$5:$C$5000,"Ausgleichszins"))</f>
      </c>
      <c r="G124" s="25">
        <f>IF($A124="","",SUMIFS(Cashflows!$D$5:$D$5000,Cashflows!$B$5:$B$5000,$A124,Cashflows!$C$5:$C$5000,"Ausschüttung"))</f>
      </c>
      <c r="H124" s="25">
        <f>IF($A124="","",SUMIFS(Cashflows!$E$5:$E$5000,Cashflows!$B$5:$B$5000,$A124,Cashflows!$C$5:$C$5000,"Ausschüttung"))</f>
      </c>
      <c r="I124" s="26">
        <f>IF($A124="","",D124-E124+H124)</f>
      </c>
      <c r="J124" s="25">
        <f>IF($A124="","",SUMIFS(Cashflows!$D$5:$D$5000,Cashflows!$B$5:$B$5000,$A124,Cashflows!$G$5:$G$5000,"Angekündigt",Cashflows!$C$5:$C$5000,"&lt;&gt;Ausschüttung"))</f>
      </c>
      <c r="K124" s="27">
        <f>IF($A124="","",IF(COUNTIFS(Cashflows!$B$5:$B$5000,$A124,Cashflows!$G$5:$G$5000,"Angekündigt",Cashflows!$C$5:$C$5000,"&lt;&gt;Ausschüttung",Cashflows!$F$5:$F$5000,"&gt;0")=0,"",MINIFS(Cashflows!$F$5:$F$5000,Cashflows!$B$5:$B$5000,$A124,Cashflows!$G$5:$G$5000,"Angekündigt",Cashflows!$C$5:$C$5000,"&lt;&gt;Ausschüttung",Cashflows!$F$5:$F$5000,"&gt;0")))</f>
      </c>
      <c r="L124" s="25">
        <f>IF($A124="","",I124+J124)</f>
      </c>
    </row>
    <row r="125" spans="1:12" x14ac:dyDescent="0.25">
      <c r="A125" s="23">
        <f>IF(INDEX(Fonds!$A$1:$A$1000,88)="","",INDEX(Fonds!$A$1:$A$1000,88))</f>
      </c>
      <c r="B125" s="23">
        <f>IF($A125="","",INDEX(Fonds!$B$1:$B$1000,88)&amp;"")</f>
      </c>
      <c r="C125" s="23">
        <f>IF($A125="","",INDEX(Fonds!$D$1:$D$1000,88)&amp;"")</f>
      </c>
      <c r="D125" s="25">
        <f>IF($A125="","",INDEX(Fonds!$E$1:$E$1000,88))</f>
      </c>
      <c r="E125" s="25">
        <f>IF($A125="","",SUMIFS(Cashflows!$D$5:$D$5000,Cashflows!$B$5:$B$5000,$A125,Cashflows!$C$5:$C$5000,"Abruf"))</f>
      </c>
      <c r="F125" s="25">
        <f>IF($A125="","",SUMIFS(Cashflows!$D$5:$D$5000,Cashflows!$B$5:$B$5000,$A125,Cashflows!$C$5:$C$5000,"Gebühr außerhalb der Zusage")+SUMIFS(Cashflows!$D$5:$D$5000,Cashflows!$B$5:$B$5000,$A125,Cashflows!$C$5:$C$5000,"Ausgleichszins"))</f>
      </c>
      <c r="G125" s="25">
        <f>IF($A125="","",SUMIFS(Cashflows!$D$5:$D$5000,Cashflows!$B$5:$B$5000,$A125,Cashflows!$C$5:$C$5000,"Ausschüttung"))</f>
      </c>
      <c r="H125" s="25">
        <f>IF($A125="","",SUMIFS(Cashflows!$E$5:$E$5000,Cashflows!$B$5:$B$5000,$A125,Cashflows!$C$5:$C$5000,"Ausschüttung"))</f>
      </c>
      <c r="I125" s="26">
        <f>IF($A125="","",D125-E125+H125)</f>
      </c>
      <c r="J125" s="25">
        <f>IF($A125="","",SUMIFS(Cashflows!$D$5:$D$5000,Cashflows!$B$5:$B$5000,$A125,Cashflows!$G$5:$G$5000,"Angekündigt",Cashflows!$C$5:$C$5000,"&lt;&gt;Ausschüttung"))</f>
      </c>
      <c r="K125" s="27">
        <f>IF($A125="","",IF(COUNTIFS(Cashflows!$B$5:$B$5000,$A125,Cashflows!$G$5:$G$5000,"Angekündigt",Cashflows!$C$5:$C$5000,"&lt;&gt;Ausschüttung",Cashflows!$F$5:$F$5000,"&gt;0")=0,"",MINIFS(Cashflows!$F$5:$F$5000,Cashflows!$B$5:$B$5000,$A125,Cashflows!$G$5:$G$5000,"Angekündigt",Cashflows!$C$5:$C$5000,"&lt;&gt;Ausschüttung",Cashflows!$F$5:$F$5000,"&gt;0")))</f>
      </c>
      <c r="L125" s="25">
        <f>IF($A125="","",I125+J125)</f>
      </c>
    </row>
    <row r="126" spans="1:12" x14ac:dyDescent="0.25">
      <c r="A126" s="23">
        <f>IF(INDEX(Fonds!$A$1:$A$1000,89)="","",INDEX(Fonds!$A$1:$A$1000,89))</f>
      </c>
      <c r="B126" s="23">
        <f>IF($A126="","",INDEX(Fonds!$B$1:$B$1000,89)&amp;"")</f>
      </c>
      <c r="C126" s="23">
        <f>IF($A126="","",INDEX(Fonds!$D$1:$D$1000,89)&amp;"")</f>
      </c>
      <c r="D126" s="25">
        <f>IF($A126="","",INDEX(Fonds!$E$1:$E$1000,89))</f>
      </c>
      <c r="E126" s="25">
        <f>IF($A126="","",SUMIFS(Cashflows!$D$5:$D$5000,Cashflows!$B$5:$B$5000,$A126,Cashflows!$C$5:$C$5000,"Abruf"))</f>
      </c>
      <c r="F126" s="25">
        <f>IF($A126="","",SUMIFS(Cashflows!$D$5:$D$5000,Cashflows!$B$5:$B$5000,$A126,Cashflows!$C$5:$C$5000,"Gebühr außerhalb der Zusage")+SUMIFS(Cashflows!$D$5:$D$5000,Cashflows!$B$5:$B$5000,$A126,Cashflows!$C$5:$C$5000,"Ausgleichszins"))</f>
      </c>
      <c r="G126" s="25">
        <f>IF($A126="","",SUMIFS(Cashflows!$D$5:$D$5000,Cashflows!$B$5:$B$5000,$A126,Cashflows!$C$5:$C$5000,"Ausschüttung"))</f>
      </c>
      <c r="H126" s="25">
        <f>IF($A126="","",SUMIFS(Cashflows!$E$5:$E$5000,Cashflows!$B$5:$B$5000,$A126,Cashflows!$C$5:$C$5000,"Ausschüttung"))</f>
      </c>
      <c r="I126" s="26">
        <f>IF($A126="","",D126-E126+H126)</f>
      </c>
      <c r="J126" s="25">
        <f>IF($A126="","",SUMIFS(Cashflows!$D$5:$D$5000,Cashflows!$B$5:$B$5000,$A126,Cashflows!$G$5:$G$5000,"Angekündigt",Cashflows!$C$5:$C$5000,"&lt;&gt;Ausschüttung"))</f>
      </c>
      <c r="K126" s="27">
        <f>IF($A126="","",IF(COUNTIFS(Cashflows!$B$5:$B$5000,$A126,Cashflows!$G$5:$G$5000,"Angekündigt",Cashflows!$C$5:$C$5000,"&lt;&gt;Ausschüttung",Cashflows!$F$5:$F$5000,"&gt;0")=0,"",MINIFS(Cashflows!$F$5:$F$5000,Cashflows!$B$5:$B$5000,$A126,Cashflows!$G$5:$G$5000,"Angekündigt",Cashflows!$C$5:$C$5000,"&lt;&gt;Ausschüttung",Cashflows!$F$5:$F$5000,"&gt;0")))</f>
      </c>
      <c r="L126" s="25">
        <f>IF($A126="","",I126+J126)</f>
      </c>
    </row>
    <row r="127" spans="1:12" x14ac:dyDescent="0.25">
      <c r="A127" s="23">
        <f>IF(INDEX(Fonds!$A$1:$A$1000,90)="","",INDEX(Fonds!$A$1:$A$1000,90))</f>
      </c>
      <c r="B127" s="23">
        <f>IF($A127="","",INDEX(Fonds!$B$1:$B$1000,90)&amp;"")</f>
      </c>
      <c r="C127" s="23">
        <f>IF($A127="","",INDEX(Fonds!$D$1:$D$1000,90)&amp;"")</f>
      </c>
      <c r="D127" s="25">
        <f>IF($A127="","",INDEX(Fonds!$E$1:$E$1000,90))</f>
      </c>
      <c r="E127" s="25">
        <f>IF($A127="","",SUMIFS(Cashflows!$D$5:$D$5000,Cashflows!$B$5:$B$5000,$A127,Cashflows!$C$5:$C$5000,"Abruf"))</f>
      </c>
      <c r="F127" s="25">
        <f>IF($A127="","",SUMIFS(Cashflows!$D$5:$D$5000,Cashflows!$B$5:$B$5000,$A127,Cashflows!$C$5:$C$5000,"Gebühr außerhalb der Zusage")+SUMIFS(Cashflows!$D$5:$D$5000,Cashflows!$B$5:$B$5000,$A127,Cashflows!$C$5:$C$5000,"Ausgleichszins"))</f>
      </c>
      <c r="G127" s="25">
        <f>IF($A127="","",SUMIFS(Cashflows!$D$5:$D$5000,Cashflows!$B$5:$B$5000,$A127,Cashflows!$C$5:$C$5000,"Ausschüttung"))</f>
      </c>
      <c r="H127" s="25">
        <f>IF($A127="","",SUMIFS(Cashflows!$E$5:$E$5000,Cashflows!$B$5:$B$5000,$A127,Cashflows!$C$5:$C$5000,"Ausschüttung"))</f>
      </c>
      <c r="I127" s="26">
        <f>IF($A127="","",D127-E127+H127)</f>
      </c>
      <c r="J127" s="25">
        <f>IF($A127="","",SUMIFS(Cashflows!$D$5:$D$5000,Cashflows!$B$5:$B$5000,$A127,Cashflows!$G$5:$G$5000,"Angekündigt",Cashflows!$C$5:$C$5000,"&lt;&gt;Ausschüttung"))</f>
      </c>
      <c r="K127" s="27">
        <f>IF($A127="","",IF(COUNTIFS(Cashflows!$B$5:$B$5000,$A127,Cashflows!$G$5:$G$5000,"Angekündigt",Cashflows!$C$5:$C$5000,"&lt;&gt;Ausschüttung",Cashflows!$F$5:$F$5000,"&gt;0")=0,"",MINIFS(Cashflows!$F$5:$F$5000,Cashflows!$B$5:$B$5000,$A127,Cashflows!$G$5:$G$5000,"Angekündigt",Cashflows!$C$5:$C$5000,"&lt;&gt;Ausschüttung",Cashflows!$F$5:$F$5000,"&gt;0")))</f>
      </c>
      <c r="L127" s="25">
        <f>IF($A127="","",I127+J127)</f>
      </c>
    </row>
    <row r="128" spans="1:12" x14ac:dyDescent="0.25">
      <c r="A128" s="23">
        <f>IF(INDEX(Fonds!$A$1:$A$1000,91)="","",INDEX(Fonds!$A$1:$A$1000,91))</f>
      </c>
      <c r="B128" s="23">
        <f>IF($A128="","",INDEX(Fonds!$B$1:$B$1000,91)&amp;"")</f>
      </c>
      <c r="C128" s="23">
        <f>IF($A128="","",INDEX(Fonds!$D$1:$D$1000,91)&amp;"")</f>
      </c>
      <c r="D128" s="25">
        <f>IF($A128="","",INDEX(Fonds!$E$1:$E$1000,91))</f>
      </c>
      <c r="E128" s="25">
        <f>IF($A128="","",SUMIFS(Cashflows!$D$5:$D$5000,Cashflows!$B$5:$B$5000,$A128,Cashflows!$C$5:$C$5000,"Abruf"))</f>
      </c>
      <c r="F128" s="25">
        <f>IF($A128="","",SUMIFS(Cashflows!$D$5:$D$5000,Cashflows!$B$5:$B$5000,$A128,Cashflows!$C$5:$C$5000,"Gebühr außerhalb der Zusage")+SUMIFS(Cashflows!$D$5:$D$5000,Cashflows!$B$5:$B$5000,$A128,Cashflows!$C$5:$C$5000,"Ausgleichszins"))</f>
      </c>
      <c r="G128" s="25">
        <f>IF($A128="","",SUMIFS(Cashflows!$D$5:$D$5000,Cashflows!$B$5:$B$5000,$A128,Cashflows!$C$5:$C$5000,"Ausschüttung"))</f>
      </c>
      <c r="H128" s="25">
        <f>IF($A128="","",SUMIFS(Cashflows!$E$5:$E$5000,Cashflows!$B$5:$B$5000,$A128,Cashflows!$C$5:$C$5000,"Ausschüttung"))</f>
      </c>
      <c r="I128" s="26">
        <f>IF($A128="","",D128-E128+H128)</f>
      </c>
      <c r="J128" s="25">
        <f>IF($A128="","",SUMIFS(Cashflows!$D$5:$D$5000,Cashflows!$B$5:$B$5000,$A128,Cashflows!$G$5:$G$5000,"Angekündigt",Cashflows!$C$5:$C$5000,"&lt;&gt;Ausschüttung"))</f>
      </c>
      <c r="K128" s="27">
        <f>IF($A128="","",IF(COUNTIFS(Cashflows!$B$5:$B$5000,$A128,Cashflows!$G$5:$G$5000,"Angekündigt",Cashflows!$C$5:$C$5000,"&lt;&gt;Ausschüttung",Cashflows!$F$5:$F$5000,"&gt;0")=0,"",MINIFS(Cashflows!$F$5:$F$5000,Cashflows!$B$5:$B$5000,$A128,Cashflows!$G$5:$G$5000,"Angekündigt",Cashflows!$C$5:$C$5000,"&lt;&gt;Ausschüttung",Cashflows!$F$5:$F$5000,"&gt;0")))</f>
      </c>
      <c r="L128" s="25">
        <f>IF($A128="","",I128+J128)</f>
      </c>
    </row>
    <row r="129" spans="1:12" x14ac:dyDescent="0.25">
      <c r="A129" s="23">
        <f>IF(INDEX(Fonds!$A$1:$A$1000,92)="","",INDEX(Fonds!$A$1:$A$1000,92))</f>
      </c>
      <c r="B129" s="23">
        <f>IF($A129="","",INDEX(Fonds!$B$1:$B$1000,92)&amp;"")</f>
      </c>
      <c r="C129" s="23">
        <f>IF($A129="","",INDEX(Fonds!$D$1:$D$1000,92)&amp;"")</f>
      </c>
      <c r="D129" s="25">
        <f>IF($A129="","",INDEX(Fonds!$E$1:$E$1000,92))</f>
      </c>
      <c r="E129" s="25">
        <f>IF($A129="","",SUMIFS(Cashflows!$D$5:$D$5000,Cashflows!$B$5:$B$5000,$A129,Cashflows!$C$5:$C$5000,"Abruf"))</f>
      </c>
      <c r="F129" s="25">
        <f>IF($A129="","",SUMIFS(Cashflows!$D$5:$D$5000,Cashflows!$B$5:$B$5000,$A129,Cashflows!$C$5:$C$5000,"Gebühr außerhalb der Zusage")+SUMIFS(Cashflows!$D$5:$D$5000,Cashflows!$B$5:$B$5000,$A129,Cashflows!$C$5:$C$5000,"Ausgleichszins"))</f>
      </c>
      <c r="G129" s="25">
        <f>IF($A129="","",SUMIFS(Cashflows!$D$5:$D$5000,Cashflows!$B$5:$B$5000,$A129,Cashflows!$C$5:$C$5000,"Ausschüttung"))</f>
      </c>
      <c r="H129" s="25">
        <f>IF($A129="","",SUMIFS(Cashflows!$E$5:$E$5000,Cashflows!$B$5:$B$5000,$A129,Cashflows!$C$5:$C$5000,"Ausschüttung"))</f>
      </c>
      <c r="I129" s="26">
        <f>IF($A129="","",D129-E129+H129)</f>
      </c>
      <c r="J129" s="25">
        <f>IF($A129="","",SUMIFS(Cashflows!$D$5:$D$5000,Cashflows!$B$5:$B$5000,$A129,Cashflows!$G$5:$G$5000,"Angekündigt",Cashflows!$C$5:$C$5000,"&lt;&gt;Ausschüttung"))</f>
      </c>
      <c r="K129" s="27">
        <f>IF($A129="","",IF(COUNTIFS(Cashflows!$B$5:$B$5000,$A129,Cashflows!$G$5:$G$5000,"Angekündigt",Cashflows!$C$5:$C$5000,"&lt;&gt;Ausschüttung",Cashflows!$F$5:$F$5000,"&gt;0")=0,"",MINIFS(Cashflows!$F$5:$F$5000,Cashflows!$B$5:$B$5000,$A129,Cashflows!$G$5:$G$5000,"Angekündigt",Cashflows!$C$5:$C$5000,"&lt;&gt;Ausschüttung",Cashflows!$F$5:$F$5000,"&gt;0")))</f>
      </c>
      <c r="L129" s="25">
        <f>IF($A129="","",I129+J129)</f>
      </c>
    </row>
    <row r="130" spans="1:12" x14ac:dyDescent="0.25">
      <c r="A130" s="23">
        <f>IF(INDEX(Fonds!$A$1:$A$1000,93)="","",INDEX(Fonds!$A$1:$A$1000,93))</f>
      </c>
      <c r="B130" s="23">
        <f>IF($A130="","",INDEX(Fonds!$B$1:$B$1000,93)&amp;"")</f>
      </c>
      <c r="C130" s="23">
        <f>IF($A130="","",INDEX(Fonds!$D$1:$D$1000,93)&amp;"")</f>
      </c>
      <c r="D130" s="25">
        <f>IF($A130="","",INDEX(Fonds!$E$1:$E$1000,93))</f>
      </c>
      <c r="E130" s="25">
        <f>IF($A130="","",SUMIFS(Cashflows!$D$5:$D$5000,Cashflows!$B$5:$B$5000,$A130,Cashflows!$C$5:$C$5000,"Abruf"))</f>
      </c>
      <c r="F130" s="25">
        <f>IF($A130="","",SUMIFS(Cashflows!$D$5:$D$5000,Cashflows!$B$5:$B$5000,$A130,Cashflows!$C$5:$C$5000,"Gebühr außerhalb der Zusage")+SUMIFS(Cashflows!$D$5:$D$5000,Cashflows!$B$5:$B$5000,$A130,Cashflows!$C$5:$C$5000,"Ausgleichszins"))</f>
      </c>
      <c r="G130" s="25">
        <f>IF($A130="","",SUMIFS(Cashflows!$D$5:$D$5000,Cashflows!$B$5:$B$5000,$A130,Cashflows!$C$5:$C$5000,"Ausschüttung"))</f>
      </c>
      <c r="H130" s="25">
        <f>IF($A130="","",SUMIFS(Cashflows!$E$5:$E$5000,Cashflows!$B$5:$B$5000,$A130,Cashflows!$C$5:$C$5000,"Ausschüttung"))</f>
      </c>
      <c r="I130" s="26">
        <f>IF($A130="","",D130-E130+H130)</f>
      </c>
      <c r="J130" s="25">
        <f>IF($A130="","",SUMIFS(Cashflows!$D$5:$D$5000,Cashflows!$B$5:$B$5000,$A130,Cashflows!$G$5:$G$5000,"Angekündigt",Cashflows!$C$5:$C$5000,"&lt;&gt;Ausschüttung"))</f>
      </c>
      <c r="K130" s="27">
        <f>IF($A130="","",IF(COUNTIFS(Cashflows!$B$5:$B$5000,$A130,Cashflows!$G$5:$G$5000,"Angekündigt",Cashflows!$C$5:$C$5000,"&lt;&gt;Ausschüttung",Cashflows!$F$5:$F$5000,"&gt;0")=0,"",MINIFS(Cashflows!$F$5:$F$5000,Cashflows!$B$5:$B$5000,$A130,Cashflows!$G$5:$G$5000,"Angekündigt",Cashflows!$C$5:$C$5000,"&lt;&gt;Ausschüttung",Cashflows!$F$5:$F$5000,"&gt;0")))</f>
      </c>
      <c r="L130" s="25">
        <f>IF($A130="","",I130+J130)</f>
      </c>
    </row>
    <row r="131" spans="1:12" x14ac:dyDescent="0.25">
      <c r="A131" s="23">
        <f>IF(INDEX(Fonds!$A$1:$A$1000,94)="","",INDEX(Fonds!$A$1:$A$1000,94))</f>
      </c>
      <c r="B131" s="23">
        <f>IF($A131="","",INDEX(Fonds!$B$1:$B$1000,94)&amp;"")</f>
      </c>
      <c r="C131" s="23">
        <f>IF($A131="","",INDEX(Fonds!$D$1:$D$1000,94)&amp;"")</f>
      </c>
      <c r="D131" s="25">
        <f>IF($A131="","",INDEX(Fonds!$E$1:$E$1000,94))</f>
      </c>
      <c r="E131" s="25">
        <f>IF($A131="","",SUMIFS(Cashflows!$D$5:$D$5000,Cashflows!$B$5:$B$5000,$A131,Cashflows!$C$5:$C$5000,"Abruf"))</f>
      </c>
      <c r="F131" s="25">
        <f>IF($A131="","",SUMIFS(Cashflows!$D$5:$D$5000,Cashflows!$B$5:$B$5000,$A131,Cashflows!$C$5:$C$5000,"Gebühr außerhalb der Zusage")+SUMIFS(Cashflows!$D$5:$D$5000,Cashflows!$B$5:$B$5000,$A131,Cashflows!$C$5:$C$5000,"Ausgleichszins"))</f>
      </c>
      <c r="G131" s="25">
        <f>IF($A131="","",SUMIFS(Cashflows!$D$5:$D$5000,Cashflows!$B$5:$B$5000,$A131,Cashflows!$C$5:$C$5000,"Ausschüttung"))</f>
      </c>
      <c r="H131" s="25">
        <f>IF($A131="","",SUMIFS(Cashflows!$E$5:$E$5000,Cashflows!$B$5:$B$5000,$A131,Cashflows!$C$5:$C$5000,"Ausschüttung"))</f>
      </c>
      <c r="I131" s="26">
        <f>IF($A131="","",D131-E131+H131)</f>
      </c>
      <c r="J131" s="25">
        <f>IF($A131="","",SUMIFS(Cashflows!$D$5:$D$5000,Cashflows!$B$5:$B$5000,$A131,Cashflows!$G$5:$G$5000,"Angekündigt",Cashflows!$C$5:$C$5000,"&lt;&gt;Ausschüttung"))</f>
      </c>
      <c r="K131" s="27">
        <f>IF($A131="","",IF(COUNTIFS(Cashflows!$B$5:$B$5000,$A131,Cashflows!$G$5:$G$5000,"Angekündigt",Cashflows!$C$5:$C$5000,"&lt;&gt;Ausschüttung",Cashflows!$F$5:$F$5000,"&gt;0")=0,"",MINIFS(Cashflows!$F$5:$F$5000,Cashflows!$B$5:$B$5000,$A131,Cashflows!$G$5:$G$5000,"Angekündigt",Cashflows!$C$5:$C$5000,"&lt;&gt;Ausschüttung",Cashflows!$F$5:$F$5000,"&gt;0")))</f>
      </c>
      <c r="L131" s="25">
        <f>IF($A131="","",I131+J131)</f>
      </c>
    </row>
    <row r="132" spans="1:12" x14ac:dyDescent="0.25">
      <c r="A132" s="23">
        <f>IF(INDEX(Fonds!$A$1:$A$1000,95)="","",INDEX(Fonds!$A$1:$A$1000,95))</f>
      </c>
      <c r="B132" s="23">
        <f>IF($A132="","",INDEX(Fonds!$B$1:$B$1000,95)&amp;"")</f>
      </c>
      <c r="C132" s="23">
        <f>IF($A132="","",INDEX(Fonds!$D$1:$D$1000,95)&amp;"")</f>
      </c>
      <c r="D132" s="25">
        <f>IF($A132="","",INDEX(Fonds!$E$1:$E$1000,95))</f>
      </c>
      <c r="E132" s="25">
        <f>IF($A132="","",SUMIFS(Cashflows!$D$5:$D$5000,Cashflows!$B$5:$B$5000,$A132,Cashflows!$C$5:$C$5000,"Abruf"))</f>
      </c>
      <c r="F132" s="25">
        <f>IF($A132="","",SUMIFS(Cashflows!$D$5:$D$5000,Cashflows!$B$5:$B$5000,$A132,Cashflows!$C$5:$C$5000,"Gebühr außerhalb der Zusage")+SUMIFS(Cashflows!$D$5:$D$5000,Cashflows!$B$5:$B$5000,$A132,Cashflows!$C$5:$C$5000,"Ausgleichszins"))</f>
      </c>
      <c r="G132" s="25">
        <f>IF($A132="","",SUMIFS(Cashflows!$D$5:$D$5000,Cashflows!$B$5:$B$5000,$A132,Cashflows!$C$5:$C$5000,"Ausschüttung"))</f>
      </c>
      <c r="H132" s="25">
        <f>IF($A132="","",SUMIFS(Cashflows!$E$5:$E$5000,Cashflows!$B$5:$B$5000,$A132,Cashflows!$C$5:$C$5000,"Ausschüttung"))</f>
      </c>
      <c r="I132" s="26">
        <f>IF($A132="","",D132-E132+H132)</f>
      </c>
      <c r="J132" s="25">
        <f>IF($A132="","",SUMIFS(Cashflows!$D$5:$D$5000,Cashflows!$B$5:$B$5000,$A132,Cashflows!$G$5:$G$5000,"Angekündigt",Cashflows!$C$5:$C$5000,"&lt;&gt;Ausschüttung"))</f>
      </c>
      <c r="K132" s="27">
        <f>IF($A132="","",IF(COUNTIFS(Cashflows!$B$5:$B$5000,$A132,Cashflows!$G$5:$G$5000,"Angekündigt",Cashflows!$C$5:$C$5000,"&lt;&gt;Ausschüttung",Cashflows!$F$5:$F$5000,"&gt;0")=0,"",MINIFS(Cashflows!$F$5:$F$5000,Cashflows!$B$5:$B$5000,$A132,Cashflows!$G$5:$G$5000,"Angekündigt",Cashflows!$C$5:$C$5000,"&lt;&gt;Ausschüttung",Cashflows!$F$5:$F$5000,"&gt;0")))</f>
      </c>
      <c r="L132" s="25">
        <f>IF($A132="","",I132+J132)</f>
      </c>
    </row>
    <row r="133" spans="1:12" x14ac:dyDescent="0.25">
      <c r="A133" s="23">
        <f>IF(INDEX(Fonds!$A$1:$A$1000,96)="","",INDEX(Fonds!$A$1:$A$1000,96))</f>
      </c>
      <c r="B133" s="23">
        <f>IF($A133="","",INDEX(Fonds!$B$1:$B$1000,96)&amp;"")</f>
      </c>
      <c r="C133" s="23">
        <f>IF($A133="","",INDEX(Fonds!$D$1:$D$1000,96)&amp;"")</f>
      </c>
      <c r="D133" s="25">
        <f>IF($A133="","",INDEX(Fonds!$E$1:$E$1000,96))</f>
      </c>
      <c r="E133" s="25">
        <f>IF($A133="","",SUMIFS(Cashflows!$D$5:$D$5000,Cashflows!$B$5:$B$5000,$A133,Cashflows!$C$5:$C$5000,"Abruf"))</f>
      </c>
      <c r="F133" s="25">
        <f>IF($A133="","",SUMIFS(Cashflows!$D$5:$D$5000,Cashflows!$B$5:$B$5000,$A133,Cashflows!$C$5:$C$5000,"Gebühr außerhalb der Zusage")+SUMIFS(Cashflows!$D$5:$D$5000,Cashflows!$B$5:$B$5000,$A133,Cashflows!$C$5:$C$5000,"Ausgleichszins"))</f>
      </c>
      <c r="G133" s="25">
        <f>IF($A133="","",SUMIFS(Cashflows!$D$5:$D$5000,Cashflows!$B$5:$B$5000,$A133,Cashflows!$C$5:$C$5000,"Ausschüttung"))</f>
      </c>
      <c r="H133" s="25">
        <f>IF($A133="","",SUMIFS(Cashflows!$E$5:$E$5000,Cashflows!$B$5:$B$5000,$A133,Cashflows!$C$5:$C$5000,"Ausschüttung"))</f>
      </c>
      <c r="I133" s="26">
        <f>IF($A133="","",D133-E133+H133)</f>
      </c>
      <c r="J133" s="25">
        <f>IF($A133="","",SUMIFS(Cashflows!$D$5:$D$5000,Cashflows!$B$5:$B$5000,$A133,Cashflows!$G$5:$G$5000,"Angekündigt",Cashflows!$C$5:$C$5000,"&lt;&gt;Ausschüttung"))</f>
      </c>
      <c r="K133" s="27">
        <f>IF($A133="","",IF(COUNTIFS(Cashflows!$B$5:$B$5000,$A133,Cashflows!$G$5:$G$5000,"Angekündigt",Cashflows!$C$5:$C$5000,"&lt;&gt;Ausschüttung",Cashflows!$F$5:$F$5000,"&gt;0")=0,"",MINIFS(Cashflows!$F$5:$F$5000,Cashflows!$B$5:$B$5000,$A133,Cashflows!$G$5:$G$5000,"Angekündigt",Cashflows!$C$5:$C$5000,"&lt;&gt;Ausschüttung",Cashflows!$F$5:$F$5000,"&gt;0")))</f>
      </c>
      <c r="L133" s="25">
        <f>IF($A133="","",I133+J133)</f>
      </c>
    </row>
    <row r="134" spans="1:12" x14ac:dyDescent="0.25">
      <c r="A134" s="23">
        <f>IF(INDEX(Fonds!$A$1:$A$1000,97)="","",INDEX(Fonds!$A$1:$A$1000,97))</f>
      </c>
      <c r="B134" s="23">
        <f>IF($A134="","",INDEX(Fonds!$B$1:$B$1000,97)&amp;"")</f>
      </c>
      <c r="C134" s="23">
        <f>IF($A134="","",INDEX(Fonds!$D$1:$D$1000,97)&amp;"")</f>
      </c>
      <c r="D134" s="25">
        <f>IF($A134="","",INDEX(Fonds!$E$1:$E$1000,97))</f>
      </c>
      <c r="E134" s="25">
        <f>IF($A134="","",SUMIFS(Cashflows!$D$5:$D$5000,Cashflows!$B$5:$B$5000,$A134,Cashflows!$C$5:$C$5000,"Abruf"))</f>
      </c>
      <c r="F134" s="25">
        <f>IF($A134="","",SUMIFS(Cashflows!$D$5:$D$5000,Cashflows!$B$5:$B$5000,$A134,Cashflows!$C$5:$C$5000,"Gebühr außerhalb der Zusage")+SUMIFS(Cashflows!$D$5:$D$5000,Cashflows!$B$5:$B$5000,$A134,Cashflows!$C$5:$C$5000,"Ausgleichszins"))</f>
      </c>
      <c r="G134" s="25">
        <f>IF($A134="","",SUMIFS(Cashflows!$D$5:$D$5000,Cashflows!$B$5:$B$5000,$A134,Cashflows!$C$5:$C$5000,"Ausschüttung"))</f>
      </c>
      <c r="H134" s="25">
        <f>IF($A134="","",SUMIFS(Cashflows!$E$5:$E$5000,Cashflows!$B$5:$B$5000,$A134,Cashflows!$C$5:$C$5000,"Ausschüttung"))</f>
      </c>
      <c r="I134" s="26">
        <f>IF($A134="","",D134-E134+H134)</f>
      </c>
      <c r="J134" s="25">
        <f>IF($A134="","",SUMIFS(Cashflows!$D$5:$D$5000,Cashflows!$B$5:$B$5000,$A134,Cashflows!$G$5:$G$5000,"Angekündigt",Cashflows!$C$5:$C$5000,"&lt;&gt;Ausschüttung"))</f>
      </c>
      <c r="K134" s="27">
        <f>IF($A134="","",IF(COUNTIFS(Cashflows!$B$5:$B$5000,$A134,Cashflows!$G$5:$G$5000,"Angekündigt",Cashflows!$C$5:$C$5000,"&lt;&gt;Ausschüttung",Cashflows!$F$5:$F$5000,"&gt;0")=0,"",MINIFS(Cashflows!$F$5:$F$5000,Cashflows!$B$5:$B$5000,$A134,Cashflows!$G$5:$G$5000,"Angekündigt",Cashflows!$C$5:$C$5000,"&lt;&gt;Ausschüttung",Cashflows!$F$5:$F$5000,"&gt;0")))</f>
      </c>
      <c r="L134" s="25">
        <f>IF($A134="","",I134+J134)</f>
      </c>
    </row>
    <row r="135" spans="1:12" x14ac:dyDescent="0.25">
      <c r="A135" s="23">
        <f>IF(INDEX(Fonds!$A$1:$A$1000,98)="","",INDEX(Fonds!$A$1:$A$1000,98))</f>
      </c>
      <c r="B135" s="23">
        <f>IF($A135="","",INDEX(Fonds!$B$1:$B$1000,98)&amp;"")</f>
      </c>
      <c r="C135" s="23">
        <f>IF($A135="","",INDEX(Fonds!$D$1:$D$1000,98)&amp;"")</f>
      </c>
      <c r="D135" s="25">
        <f>IF($A135="","",INDEX(Fonds!$E$1:$E$1000,98))</f>
      </c>
      <c r="E135" s="25">
        <f>IF($A135="","",SUMIFS(Cashflows!$D$5:$D$5000,Cashflows!$B$5:$B$5000,$A135,Cashflows!$C$5:$C$5000,"Abruf"))</f>
      </c>
      <c r="F135" s="25">
        <f>IF($A135="","",SUMIFS(Cashflows!$D$5:$D$5000,Cashflows!$B$5:$B$5000,$A135,Cashflows!$C$5:$C$5000,"Gebühr außerhalb der Zusage")+SUMIFS(Cashflows!$D$5:$D$5000,Cashflows!$B$5:$B$5000,$A135,Cashflows!$C$5:$C$5000,"Ausgleichszins"))</f>
      </c>
      <c r="G135" s="25">
        <f>IF($A135="","",SUMIFS(Cashflows!$D$5:$D$5000,Cashflows!$B$5:$B$5000,$A135,Cashflows!$C$5:$C$5000,"Ausschüttung"))</f>
      </c>
      <c r="H135" s="25">
        <f>IF($A135="","",SUMIFS(Cashflows!$E$5:$E$5000,Cashflows!$B$5:$B$5000,$A135,Cashflows!$C$5:$C$5000,"Ausschüttung"))</f>
      </c>
      <c r="I135" s="26">
        <f>IF($A135="","",D135-E135+H135)</f>
      </c>
      <c r="J135" s="25">
        <f>IF($A135="","",SUMIFS(Cashflows!$D$5:$D$5000,Cashflows!$B$5:$B$5000,$A135,Cashflows!$G$5:$G$5000,"Angekündigt",Cashflows!$C$5:$C$5000,"&lt;&gt;Ausschüttung"))</f>
      </c>
      <c r="K135" s="27">
        <f>IF($A135="","",IF(COUNTIFS(Cashflows!$B$5:$B$5000,$A135,Cashflows!$G$5:$G$5000,"Angekündigt",Cashflows!$C$5:$C$5000,"&lt;&gt;Ausschüttung",Cashflows!$F$5:$F$5000,"&gt;0")=0,"",MINIFS(Cashflows!$F$5:$F$5000,Cashflows!$B$5:$B$5000,$A135,Cashflows!$G$5:$G$5000,"Angekündigt",Cashflows!$C$5:$C$5000,"&lt;&gt;Ausschüttung",Cashflows!$F$5:$F$5000,"&gt;0")))</f>
      </c>
      <c r="L135" s="25">
        <f>IF($A135="","",I135+J135)</f>
      </c>
    </row>
    <row r="136" spans="1:12" x14ac:dyDescent="0.25">
      <c r="A136" s="23">
        <f>IF(INDEX(Fonds!$A$1:$A$1000,99)="","",INDEX(Fonds!$A$1:$A$1000,99))</f>
      </c>
      <c r="B136" s="23">
        <f>IF($A136="","",INDEX(Fonds!$B$1:$B$1000,99)&amp;"")</f>
      </c>
      <c r="C136" s="23">
        <f>IF($A136="","",INDEX(Fonds!$D$1:$D$1000,99)&amp;"")</f>
      </c>
      <c r="D136" s="25">
        <f>IF($A136="","",INDEX(Fonds!$E$1:$E$1000,99))</f>
      </c>
      <c r="E136" s="25">
        <f>IF($A136="","",SUMIFS(Cashflows!$D$5:$D$5000,Cashflows!$B$5:$B$5000,$A136,Cashflows!$C$5:$C$5000,"Abruf"))</f>
      </c>
      <c r="F136" s="25">
        <f>IF($A136="","",SUMIFS(Cashflows!$D$5:$D$5000,Cashflows!$B$5:$B$5000,$A136,Cashflows!$C$5:$C$5000,"Gebühr außerhalb der Zusage")+SUMIFS(Cashflows!$D$5:$D$5000,Cashflows!$B$5:$B$5000,$A136,Cashflows!$C$5:$C$5000,"Ausgleichszins"))</f>
      </c>
      <c r="G136" s="25">
        <f>IF($A136="","",SUMIFS(Cashflows!$D$5:$D$5000,Cashflows!$B$5:$B$5000,$A136,Cashflows!$C$5:$C$5000,"Ausschüttung"))</f>
      </c>
      <c r="H136" s="25">
        <f>IF($A136="","",SUMIFS(Cashflows!$E$5:$E$5000,Cashflows!$B$5:$B$5000,$A136,Cashflows!$C$5:$C$5000,"Ausschüttung"))</f>
      </c>
      <c r="I136" s="26">
        <f>IF($A136="","",D136-E136+H136)</f>
      </c>
      <c r="J136" s="25">
        <f>IF($A136="","",SUMIFS(Cashflows!$D$5:$D$5000,Cashflows!$B$5:$B$5000,$A136,Cashflows!$G$5:$G$5000,"Angekündigt",Cashflows!$C$5:$C$5000,"&lt;&gt;Ausschüttung"))</f>
      </c>
      <c r="K136" s="27">
        <f>IF($A136="","",IF(COUNTIFS(Cashflows!$B$5:$B$5000,$A136,Cashflows!$G$5:$G$5000,"Angekündigt",Cashflows!$C$5:$C$5000,"&lt;&gt;Ausschüttung",Cashflows!$F$5:$F$5000,"&gt;0")=0,"",MINIFS(Cashflows!$F$5:$F$5000,Cashflows!$B$5:$B$5000,$A136,Cashflows!$G$5:$G$5000,"Angekündigt",Cashflows!$C$5:$C$5000,"&lt;&gt;Ausschüttung",Cashflows!$F$5:$F$5000,"&gt;0")))</f>
      </c>
      <c r="L136" s="25">
        <f>IF($A136="","",I136+J136)</f>
      </c>
    </row>
    <row r="137" spans="1:12" x14ac:dyDescent="0.25">
      <c r="A137" s="23">
        <f>IF(INDEX(Fonds!$A$1:$A$1000,100)="","",INDEX(Fonds!$A$1:$A$1000,100))</f>
      </c>
      <c r="B137" s="23">
        <f>IF($A137="","",INDEX(Fonds!$B$1:$B$1000,100)&amp;"")</f>
      </c>
      <c r="C137" s="23">
        <f>IF($A137="","",INDEX(Fonds!$D$1:$D$1000,100)&amp;"")</f>
      </c>
      <c r="D137" s="25">
        <f>IF($A137="","",INDEX(Fonds!$E$1:$E$1000,100))</f>
      </c>
      <c r="E137" s="25">
        <f>IF($A137="","",SUMIFS(Cashflows!$D$5:$D$5000,Cashflows!$B$5:$B$5000,$A137,Cashflows!$C$5:$C$5000,"Abruf"))</f>
      </c>
      <c r="F137" s="25">
        <f>IF($A137="","",SUMIFS(Cashflows!$D$5:$D$5000,Cashflows!$B$5:$B$5000,$A137,Cashflows!$C$5:$C$5000,"Gebühr außerhalb der Zusage")+SUMIFS(Cashflows!$D$5:$D$5000,Cashflows!$B$5:$B$5000,$A137,Cashflows!$C$5:$C$5000,"Ausgleichszins"))</f>
      </c>
      <c r="G137" s="25">
        <f>IF($A137="","",SUMIFS(Cashflows!$D$5:$D$5000,Cashflows!$B$5:$B$5000,$A137,Cashflows!$C$5:$C$5000,"Ausschüttung"))</f>
      </c>
      <c r="H137" s="25">
        <f>IF($A137="","",SUMIFS(Cashflows!$E$5:$E$5000,Cashflows!$B$5:$B$5000,$A137,Cashflows!$C$5:$C$5000,"Ausschüttung"))</f>
      </c>
      <c r="I137" s="26">
        <f>IF($A137="","",D137-E137+H137)</f>
      </c>
      <c r="J137" s="25">
        <f>IF($A137="","",SUMIFS(Cashflows!$D$5:$D$5000,Cashflows!$B$5:$B$5000,$A137,Cashflows!$G$5:$G$5000,"Angekündigt",Cashflows!$C$5:$C$5000,"&lt;&gt;Ausschüttung"))</f>
      </c>
      <c r="K137" s="27">
        <f>IF($A137="","",IF(COUNTIFS(Cashflows!$B$5:$B$5000,$A137,Cashflows!$G$5:$G$5000,"Angekündigt",Cashflows!$C$5:$C$5000,"&lt;&gt;Ausschüttung",Cashflows!$F$5:$F$5000,"&gt;0")=0,"",MINIFS(Cashflows!$F$5:$F$5000,Cashflows!$B$5:$B$5000,$A137,Cashflows!$G$5:$G$5000,"Angekündigt",Cashflows!$C$5:$C$5000,"&lt;&gt;Ausschüttung",Cashflows!$F$5:$F$5000,"&gt;0")))</f>
      </c>
      <c r="L137" s="25">
        <f>IF($A137="","",I137+J137)</f>
      </c>
    </row>
    <row r="138" spans="1:12" x14ac:dyDescent="0.25">
      <c r="A138" s="23">
        <f>IF(INDEX(Fonds!$A$1:$A$1000,101)="","",INDEX(Fonds!$A$1:$A$1000,101))</f>
      </c>
      <c r="B138" s="23">
        <f>IF($A138="","",INDEX(Fonds!$B$1:$B$1000,101)&amp;"")</f>
      </c>
      <c r="C138" s="23">
        <f>IF($A138="","",INDEX(Fonds!$D$1:$D$1000,101)&amp;"")</f>
      </c>
      <c r="D138" s="25">
        <f>IF($A138="","",INDEX(Fonds!$E$1:$E$1000,101))</f>
      </c>
      <c r="E138" s="25">
        <f>IF($A138="","",SUMIFS(Cashflows!$D$5:$D$5000,Cashflows!$B$5:$B$5000,$A138,Cashflows!$C$5:$C$5000,"Abruf"))</f>
      </c>
      <c r="F138" s="25">
        <f>IF($A138="","",SUMIFS(Cashflows!$D$5:$D$5000,Cashflows!$B$5:$B$5000,$A138,Cashflows!$C$5:$C$5000,"Gebühr außerhalb der Zusage")+SUMIFS(Cashflows!$D$5:$D$5000,Cashflows!$B$5:$B$5000,$A138,Cashflows!$C$5:$C$5000,"Ausgleichszins"))</f>
      </c>
      <c r="G138" s="25">
        <f>IF($A138="","",SUMIFS(Cashflows!$D$5:$D$5000,Cashflows!$B$5:$B$5000,$A138,Cashflows!$C$5:$C$5000,"Ausschüttung"))</f>
      </c>
      <c r="H138" s="25">
        <f>IF($A138="","",SUMIFS(Cashflows!$E$5:$E$5000,Cashflows!$B$5:$B$5000,$A138,Cashflows!$C$5:$C$5000,"Ausschüttung"))</f>
      </c>
      <c r="I138" s="26">
        <f>IF($A138="","",D138-E138+H138)</f>
      </c>
      <c r="J138" s="25">
        <f>IF($A138="","",SUMIFS(Cashflows!$D$5:$D$5000,Cashflows!$B$5:$B$5000,$A138,Cashflows!$G$5:$G$5000,"Angekündigt",Cashflows!$C$5:$C$5000,"&lt;&gt;Ausschüttung"))</f>
      </c>
      <c r="K138" s="27">
        <f>IF($A138="","",IF(COUNTIFS(Cashflows!$B$5:$B$5000,$A138,Cashflows!$G$5:$G$5000,"Angekündigt",Cashflows!$C$5:$C$5000,"&lt;&gt;Ausschüttung",Cashflows!$F$5:$F$5000,"&gt;0")=0,"",MINIFS(Cashflows!$F$5:$F$5000,Cashflows!$B$5:$B$5000,$A138,Cashflows!$G$5:$G$5000,"Angekündigt",Cashflows!$C$5:$C$5000,"&lt;&gt;Ausschüttung",Cashflows!$F$5:$F$5000,"&gt;0")))</f>
      </c>
      <c r="L138" s="25">
        <f>IF($A138="","",I138+J138)</f>
      </c>
    </row>
    <row r="139" spans="1:12" x14ac:dyDescent="0.25">
      <c r="A139" s="23">
        <f>IF(INDEX(Fonds!$A$1:$A$1000,102)="","",INDEX(Fonds!$A$1:$A$1000,102))</f>
      </c>
      <c r="B139" s="23">
        <f>IF($A139="","",INDEX(Fonds!$B$1:$B$1000,102)&amp;"")</f>
      </c>
      <c r="C139" s="23">
        <f>IF($A139="","",INDEX(Fonds!$D$1:$D$1000,102)&amp;"")</f>
      </c>
      <c r="D139" s="25">
        <f>IF($A139="","",INDEX(Fonds!$E$1:$E$1000,102))</f>
      </c>
      <c r="E139" s="25">
        <f>IF($A139="","",SUMIFS(Cashflows!$D$5:$D$5000,Cashflows!$B$5:$B$5000,$A139,Cashflows!$C$5:$C$5000,"Abruf"))</f>
      </c>
      <c r="F139" s="25">
        <f>IF($A139="","",SUMIFS(Cashflows!$D$5:$D$5000,Cashflows!$B$5:$B$5000,$A139,Cashflows!$C$5:$C$5000,"Gebühr außerhalb der Zusage")+SUMIFS(Cashflows!$D$5:$D$5000,Cashflows!$B$5:$B$5000,$A139,Cashflows!$C$5:$C$5000,"Ausgleichszins"))</f>
      </c>
      <c r="G139" s="25">
        <f>IF($A139="","",SUMIFS(Cashflows!$D$5:$D$5000,Cashflows!$B$5:$B$5000,$A139,Cashflows!$C$5:$C$5000,"Ausschüttung"))</f>
      </c>
      <c r="H139" s="25">
        <f>IF($A139="","",SUMIFS(Cashflows!$E$5:$E$5000,Cashflows!$B$5:$B$5000,$A139,Cashflows!$C$5:$C$5000,"Ausschüttung"))</f>
      </c>
      <c r="I139" s="26">
        <f>IF($A139="","",D139-E139+H139)</f>
      </c>
      <c r="J139" s="25">
        <f>IF($A139="","",SUMIFS(Cashflows!$D$5:$D$5000,Cashflows!$B$5:$B$5000,$A139,Cashflows!$G$5:$G$5000,"Angekündigt",Cashflows!$C$5:$C$5000,"&lt;&gt;Ausschüttung"))</f>
      </c>
      <c r="K139" s="27">
        <f>IF($A139="","",IF(COUNTIFS(Cashflows!$B$5:$B$5000,$A139,Cashflows!$G$5:$G$5000,"Angekündigt",Cashflows!$C$5:$C$5000,"&lt;&gt;Ausschüttung",Cashflows!$F$5:$F$5000,"&gt;0")=0,"",MINIFS(Cashflows!$F$5:$F$5000,Cashflows!$B$5:$B$5000,$A139,Cashflows!$G$5:$G$5000,"Angekündigt",Cashflows!$C$5:$C$5000,"&lt;&gt;Ausschüttung",Cashflows!$F$5:$F$5000,"&gt;0")))</f>
      </c>
      <c r="L139" s="25">
        <f>IF($A139="","",I139+J139)</f>
      </c>
    </row>
    <row r="140" spans="1:12" x14ac:dyDescent="0.25">
      <c r="A140" s="23">
        <f>IF(INDEX(Fonds!$A$1:$A$1000,103)="","",INDEX(Fonds!$A$1:$A$1000,103))</f>
      </c>
      <c r="B140" s="23">
        <f>IF($A140="","",INDEX(Fonds!$B$1:$B$1000,103)&amp;"")</f>
      </c>
      <c r="C140" s="23">
        <f>IF($A140="","",INDEX(Fonds!$D$1:$D$1000,103)&amp;"")</f>
      </c>
      <c r="D140" s="25">
        <f>IF($A140="","",INDEX(Fonds!$E$1:$E$1000,103))</f>
      </c>
      <c r="E140" s="25">
        <f>IF($A140="","",SUMIFS(Cashflows!$D$5:$D$5000,Cashflows!$B$5:$B$5000,$A140,Cashflows!$C$5:$C$5000,"Abruf"))</f>
      </c>
      <c r="F140" s="25">
        <f>IF($A140="","",SUMIFS(Cashflows!$D$5:$D$5000,Cashflows!$B$5:$B$5000,$A140,Cashflows!$C$5:$C$5000,"Gebühr außerhalb der Zusage")+SUMIFS(Cashflows!$D$5:$D$5000,Cashflows!$B$5:$B$5000,$A140,Cashflows!$C$5:$C$5000,"Ausgleichszins"))</f>
      </c>
      <c r="G140" s="25">
        <f>IF($A140="","",SUMIFS(Cashflows!$D$5:$D$5000,Cashflows!$B$5:$B$5000,$A140,Cashflows!$C$5:$C$5000,"Ausschüttung"))</f>
      </c>
      <c r="H140" s="25">
        <f>IF($A140="","",SUMIFS(Cashflows!$E$5:$E$5000,Cashflows!$B$5:$B$5000,$A140,Cashflows!$C$5:$C$5000,"Ausschüttung"))</f>
      </c>
      <c r="I140" s="26">
        <f>IF($A140="","",D140-E140+H140)</f>
      </c>
      <c r="J140" s="25">
        <f>IF($A140="","",SUMIFS(Cashflows!$D$5:$D$5000,Cashflows!$B$5:$B$5000,$A140,Cashflows!$G$5:$G$5000,"Angekündigt",Cashflows!$C$5:$C$5000,"&lt;&gt;Ausschüttung"))</f>
      </c>
      <c r="K140" s="27">
        <f>IF($A140="","",IF(COUNTIFS(Cashflows!$B$5:$B$5000,$A140,Cashflows!$G$5:$G$5000,"Angekündigt",Cashflows!$C$5:$C$5000,"&lt;&gt;Ausschüttung",Cashflows!$F$5:$F$5000,"&gt;0")=0,"",MINIFS(Cashflows!$F$5:$F$5000,Cashflows!$B$5:$B$5000,$A140,Cashflows!$G$5:$G$5000,"Angekündigt",Cashflows!$C$5:$C$5000,"&lt;&gt;Ausschüttung",Cashflows!$F$5:$F$5000,"&gt;0")))</f>
      </c>
      <c r="L140" s="25">
        <f>IF($A140="","",I140+J140)</f>
      </c>
    </row>
    <row r="141" spans="1:12" x14ac:dyDescent="0.25">
      <c r="A141" s="23">
        <f>IF(INDEX(Fonds!$A$1:$A$1000,104)="","",INDEX(Fonds!$A$1:$A$1000,104))</f>
      </c>
      <c r="B141" s="23">
        <f>IF($A141="","",INDEX(Fonds!$B$1:$B$1000,104)&amp;"")</f>
      </c>
      <c r="C141" s="23">
        <f>IF($A141="","",INDEX(Fonds!$D$1:$D$1000,104)&amp;"")</f>
      </c>
      <c r="D141" s="25">
        <f>IF($A141="","",INDEX(Fonds!$E$1:$E$1000,104))</f>
      </c>
      <c r="E141" s="25">
        <f>IF($A141="","",SUMIFS(Cashflows!$D$5:$D$5000,Cashflows!$B$5:$B$5000,$A141,Cashflows!$C$5:$C$5000,"Abruf"))</f>
      </c>
      <c r="F141" s="25">
        <f>IF($A141="","",SUMIFS(Cashflows!$D$5:$D$5000,Cashflows!$B$5:$B$5000,$A141,Cashflows!$C$5:$C$5000,"Gebühr außerhalb der Zusage")+SUMIFS(Cashflows!$D$5:$D$5000,Cashflows!$B$5:$B$5000,$A141,Cashflows!$C$5:$C$5000,"Ausgleichszins"))</f>
      </c>
      <c r="G141" s="25">
        <f>IF($A141="","",SUMIFS(Cashflows!$D$5:$D$5000,Cashflows!$B$5:$B$5000,$A141,Cashflows!$C$5:$C$5000,"Ausschüttung"))</f>
      </c>
      <c r="H141" s="25">
        <f>IF($A141="","",SUMIFS(Cashflows!$E$5:$E$5000,Cashflows!$B$5:$B$5000,$A141,Cashflows!$C$5:$C$5000,"Ausschüttung"))</f>
      </c>
      <c r="I141" s="26">
        <f>IF($A141="","",D141-E141+H141)</f>
      </c>
      <c r="J141" s="25">
        <f>IF($A141="","",SUMIFS(Cashflows!$D$5:$D$5000,Cashflows!$B$5:$B$5000,$A141,Cashflows!$G$5:$G$5000,"Angekündigt",Cashflows!$C$5:$C$5000,"&lt;&gt;Ausschüttung"))</f>
      </c>
      <c r="K141" s="27">
        <f>IF($A141="","",IF(COUNTIFS(Cashflows!$B$5:$B$5000,$A141,Cashflows!$G$5:$G$5000,"Angekündigt",Cashflows!$C$5:$C$5000,"&lt;&gt;Ausschüttung",Cashflows!$F$5:$F$5000,"&gt;0")=0,"",MINIFS(Cashflows!$F$5:$F$5000,Cashflows!$B$5:$B$5000,$A141,Cashflows!$G$5:$G$5000,"Angekündigt",Cashflows!$C$5:$C$5000,"&lt;&gt;Ausschüttung",Cashflows!$F$5:$F$5000,"&gt;0")))</f>
      </c>
      <c r="L141" s="25">
        <f>IF($A141="","",I141+J141)</f>
      </c>
    </row>
    <row r="142" spans="1:12" x14ac:dyDescent="0.25">
      <c r="A142" s="23">
        <f>IF(INDEX(Fonds!$A$1:$A$1000,105)="","",INDEX(Fonds!$A$1:$A$1000,105))</f>
      </c>
      <c r="B142" s="23">
        <f>IF($A142="","",INDEX(Fonds!$B$1:$B$1000,105)&amp;"")</f>
      </c>
      <c r="C142" s="23">
        <f>IF($A142="","",INDEX(Fonds!$D$1:$D$1000,105)&amp;"")</f>
      </c>
      <c r="D142" s="25">
        <f>IF($A142="","",INDEX(Fonds!$E$1:$E$1000,105))</f>
      </c>
      <c r="E142" s="25">
        <f>IF($A142="","",SUMIFS(Cashflows!$D$5:$D$5000,Cashflows!$B$5:$B$5000,$A142,Cashflows!$C$5:$C$5000,"Abruf"))</f>
      </c>
      <c r="F142" s="25">
        <f>IF($A142="","",SUMIFS(Cashflows!$D$5:$D$5000,Cashflows!$B$5:$B$5000,$A142,Cashflows!$C$5:$C$5000,"Gebühr außerhalb der Zusage")+SUMIFS(Cashflows!$D$5:$D$5000,Cashflows!$B$5:$B$5000,$A142,Cashflows!$C$5:$C$5000,"Ausgleichszins"))</f>
      </c>
      <c r="G142" s="25">
        <f>IF($A142="","",SUMIFS(Cashflows!$D$5:$D$5000,Cashflows!$B$5:$B$5000,$A142,Cashflows!$C$5:$C$5000,"Ausschüttung"))</f>
      </c>
      <c r="H142" s="25">
        <f>IF($A142="","",SUMIFS(Cashflows!$E$5:$E$5000,Cashflows!$B$5:$B$5000,$A142,Cashflows!$C$5:$C$5000,"Ausschüttung"))</f>
      </c>
      <c r="I142" s="26">
        <f>IF($A142="","",D142-E142+H142)</f>
      </c>
      <c r="J142" s="25">
        <f>IF($A142="","",SUMIFS(Cashflows!$D$5:$D$5000,Cashflows!$B$5:$B$5000,$A142,Cashflows!$G$5:$G$5000,"Angekündigt",Cashflows!$C$5:$C$5000,"&lt;&gt;Ausschüttung"))</f>
      </c>
      <c r="K142" s="27">
        <f>IF($A142="","",IF(COUNTIFS(Cashflows!$B$5:$B$5000,$A142,Cashflows!$G$5:$G$5000,"Angekündigt",Cashflows!$C$5:$C$5000,"&lt;&gt;Ausschüttung",Cashflows!$F$5:$F$5000,"&gt;0")=0,"",MINIFS(Cashflows!$F$5:$F$5000,Cashflows!$B$5:$B$5000,$A142,Cashflows!$G$5:$G$5000,"Angekündigt",Cashflows!$C$5:$C$5000,"&lt;&gt;Ausschüttung",Cashflows!$F$5:$F$5000,"&gt;0")))</f>
      </c>
      <c r="L142" s="25">
        <f>IF($A142="","",I142+J142)</f>
      </c>
    </row>
    <row r="143" spans="1:12" x14ac:dyDescent="0.25">
      <c r="A143" s="23">
        <f>IF(INDEX(Fonds!$A$1:$A$1000,106)="","",INDEX(Fonds!$A$1:$A$1000,106))</f>
      </c>
      <c r="B143" s="23">
        <f>IF($A143="","",INDEX(Fonds!$B$1:$B$1000,106)&amp;"")</f>
      </c>
      <c r="C143" s="23">
        <f>IF($A143="","",INDEX(Fonds!$D$1:$D$1000,106)&amp;"")</f>
      </c>
      <c r="D143" s="25">
        <f>IF($A143="","",INDEX(Fonds!$E$1:$E$1000,106))</f>
      </c>
      <c r="E143" s="25">
        <f>IF($A143="","",SUMIFS(Cashflows!$D$5:$D$5000,Cashflows!$B$5:$B$5000,$A143,Cashflows!$C$5:$C$5000,"Abruf"))</f>
      </c>
      <c r="F143" s="25">
        <f>IF($A143="","",SUMIFS(Cashflows!$D$5:$D$5000,Cashflows!$B$5:$B$5000,$A143,Cashflows!$C$5:$C$5000,"Gebühr außerhalb der Zusage")+SUMIFS(Cashflows!$D$5:$D$5000,Cashflows!$B$5:$B$5000,$A143,Cashflows!$C$5:$C$5000,"Ausgleichszins"))</f>
      </c>
      <c r="G143" s="25">
        <f>IF($A143="","",SUMIFS(Cashflows!$D$5:$D$5000,Cashflows!$B$5:$B$5000,$A143,Cashflows!$C$5:$C$5000,"Ausschüttung"))</f>
      </c>
      <c r="H143" s="25">
        <f>IF($A143="","",SUMIFS(Cashflows!$E$5:$E$5000,Cashflows!$B$5:$B$5000,$A143,Cashflows!$C$5:$C$5000,"Ausschüttung"))</f>
      </c>
      <c r="I143" s="26">
        <f>IF($A143="","",D143-E143+H143)</f>
      </c>
      <c r="J143" s="25">
        <f>IF($A143="","",SUMIFS(Cashflows!$D$5:$D$5000,Cashflows!$B$5:$B$5000,$A143,Cashflows!$G$5:$G$5000,"Angekündigt",Cashflows!$C$5:$C$5000,"&lt;&gt;Ausschüttung"))</f>
      </c>
      <c r="K143" s="27">
        <f>IF($A143="","",IF(COUNTIFS(Cashflows!$B$5:$B$5000,$A143,Cashflows!$G$5:$G$5000,"Angekündigt",Cashflows!$C$5:$C$5000,"&lt;&gt;Ausschüttung",Cashflows!$F$5:$F$5000,"&gt;0")=0,"",MINIFS(Cashflows!$F$5:$F$5000,Cashflows!$B$5:$B$5000,$A143,Cashflows!$G$5:$G$5000,"Angekündigt",Cashflows!$C$5:$C$5000,"&lt;&gt;Ausschüttung",Cashflows!$F$5:$F$5000,"&gt;0")))</f>
      </c>
      <c r="L143" s="25">
        <f>IF($A143="","",I143+J143)</f>
      </c>
    </row>
    <row r="144" spans="1:12" x14ac:dyDescent="0.25">
      <c r="A144" s="23">
        <f>IF(INDEX(Fonds!$A$1:$A$1000,107)="","",INDEX(Fonds!$A$1:$A$1000,107))</f>
      </c>
      <c r="B144" s="23">
        <f>IF($A144="","",INDEX(Fonds!$B$1:$B$1000,107)&amp;"")</f>
      </c>
      <c r="C144" s="23">
        <f>IF($A144="","",INDEX(Fonds!$D$1:$D$1000,107)&amp;"")</f>
      </c>
      <c r="D144" s="25">
        <f>IF($A144="","",INDEX(Fonds!$E$1:$E$1000,107))</f>
      </c>
      <c r="E144" s="25">
        <f>IF($A144="","",SUMIFS(Cashflows!$D$5:$D$5000,Cashflows!$B$5:$B$5000,$A144,Cashflows!$C$5:$C$5000,"Abruf"))</f>
      </c>
      <c r="F144" s="25">
        <f>IF($A144="","",SUMIFS(Cashflows!$D$5:$D$5000,Cashflows!$B$5:$B$5000,$A144,Cashflows!$C$5:$C$5000,"Gebühr außerhalb der Zusage")+SUMIFS(Cashflows!$D$5:$D$5000,Cashflows!$B$5:$B$5000,$A144,Cashflows!$C$5:$C$5000,"Ausgleichszins"))</f>
      </c>
      <c r="G144" s="25">
        <f>IF($A144="","",SUMIFS(Cashflows!$D$5:$D$5000,Cashflows!$B$5:$B$5000,$A144,Cashflows!$C$5:$C$5000,"Ausschüttung"))</f>
      </c>
      <c r="H144" s="25">
        <f>IF($A144="","",SUMIFS(Cashflows!$E$5:$E$5000,Cashflows!$B$5:$B$5000,$A144,Cashflows!$C$5:$C$5000,"Ausschüttung"))</f>
      </c>
      <c r="I144" s="26">
        <f>IF($A144="","",D144-E144+H144)</f>
      </c>
      <c r="J144" s="25">
        <f>IF($A144="","",SUMIFS(Cashflows!$D$5:$D$5000,Cashflows!$B$5:$B$5000,$A144,Cashflows!$G$5:$G$5000,"Angekündigt",Cashflows!$C$5:$C$5000,"&lt;&gt;Ausschüttung"))</f>
      </c>
      <c r="K144" s="27">
        <f>IF($A144="","",IF(COUNTIFS(Cashflows!$B$5:$B$5000,$A144,Cashflows!$G$5:$G$5000,"Angekündigt",Cashflows!$C$5:$C$5000,"&lt;&gt;Ausschüttung",Cashflows!$F$5:$F$5000,"&gt;0")=0,"",MINIFS(Cashflows!$F$5:$F$5000,Cashflows!$B$5:$B$5000,$A144,Cashflows!$G$5:$G$5000,"Angekündigt",Cashflows!$C$5:$C$5000,"&lt;&gt;Ausschüttung",Cashflows!$F$5:$F$5000,"&gt;0")))</f>
      </c>
      <c r="L144" s="25">
        <f>IF($A144="","",I144+J144)</f>
      </c>
    </row>
    <row r="145" spans="1:12" x14ac:dyDescent="0.25">
      <c r="A145" s="23">
        <f>IF(INDEX(Fonds!$A$1:$A$1000,108)="","",INDEX(Fonds!$A$1:$A$1000,108))</f>
      </c>
      <c r="B145" s="23">
        <f>IF($A145="","",INDEX(Fonds!$B$1:$B$1000,108)&amp;"")</f>
      </c>
      <c r="C145" s="23">
        <f>IF($A145="","",INDEX(Fonds!$D$1:$D$1000,108)&amp;"")</f>
      </c>
      <c r="D145" s="25">
        <f>IF($A145="","",INDEX(Fonds!$E$1:$E$1000,108))</f>
      </c>
      <c r="E145" s="25">
        <f>IF($A145="","",SUMIFS(Cashflows!$D$5:$D$5000,Cashflows!$B$5:$B$5000,$A145,Cashflows!$C$5:$C$5000,"Abruf"))</f>
      </c>
      <c r="F145" s="25">
        <f>IF($A145="","",SUMIFS(Cashflows!$D$5:$D$5000,Cashflows!$B$5:$B$5000,$A145,Cashflows!$C$5:$C$5000,"Gebühr außerhalb der Zusage")+SUMIFS(Cashflows!$D$5:$D$5000,Cashflows!$B$5:$B$5000,$A145,Cashflows!$C$5:$C$5000,"Ausgleichszins"))</f>
      </c>
      <c r="G145" s="25">
        <f>IF($A145="","",SUMIFS(Cashflows!$D$5:$D$5000,Cashflows!$B$5:$B$5000,$A145,Cashflows!$C$5:$C$5000,"Ausschüttung"))</f>
      </c>
      <c r="H145" s="25">
        <f>IF($A145="","",SUMIFS(Cashflows!$E$5:$E$5000,Cashflows!$B$5:$B$5000,$A145,Cashflows!$C$5:$C$5000,"Ausschüttung"))</f>
      </c>
      <c r="I145" s="26">
        <f>IF($A145="","",D145-E145+H145)</f>
      </c>
      <c r="J145" s="25">
        <f>IF($A145="","",SUMIFS(Cashflows!$D$5:$D$5000,Cashflows!$B$5:$B$5000,$A145,Cashflows!$G$5:$G$5000,"Angekündigt",Cashflows!$C$5:$C$5000,"&lt;&gt;Ausschüttung"))</f>
      </c>
      <c r="K145" s="27">
        <f>IF($A145="","",IF(COUNTIFS(Cashflows!$B$5:$B$5000,$A145,Cashflows!$G$5:$G$5000,"Angekündigt",Cashflows!$C$5:$C$5000,"&lt;&gt;Ausschüttung",Cashflows!$F$5:$F$5000,"&gt;0")=0,"",MINIFS(Cashflows!$F$5:$F$5000,Cashflows!$B$5:$B$5000,$A145,Cashflows!$G$5:$G$5000,"Angekündigt",Cashflows!$C$5:$C$5000,"&lt;&gt;Ausschüttung",Cashflows!$F$5:$F$5000,"&gt;0")))</f>
      </c>
      <c r="L145" s="25">
        <f>IF($A145="","",I145+J145)</f>
      </c>
    </row>
    <row r="146" spans="1:12" x14ac:dyDescent="0.25">
      <c r="A146" s="23">
        <f>IF(INDEX(Fonds!$A$1:$A$1000,109)="","",INDEX(Fonds!$A$1:$A$1000,109))</f>
      </c>
      <c r="B146" s="23">
        <f>IF($A146="","",INDEX(Fonds!$B$1:$B$1000,109)&amp;"")</f>
      </c>
      <c r="C146" s="23">
        <f>IF($A146="","",INDEX(Fonds!$D$1:$D$1000,109)&amp;"")</f>
      </c>
      <c r="D146" s="25">
        <f>IF($A146="","",INDEX(Fonds!$E$1:$E$1000,109))</f>
      </c>
      <c r="E146" s="25">
        <f>IF($A146="","",SUMIFS(Cashflows!$D$5:$D$5000,Cashflows!$B$5:$B$5000,$A146,Cashflows!$C$5:$C$5000,"Abruf"))</f>
      </c>
      <c r="F146" s="25">
        <f>IF($A146="","",SUMIFS(Cashflows!$D$5:$D$5000,Cashflows!$B$5:$B$5000,$A146,Cashflows!$C$5:$C$5000,"Gebühr außerhalb der Zusage")+SUMIFS(Cashflows!$D$5:$D$5000,Cashflows!$B$5:$B$5000,$A146,Cashflows!$C$5:$C$5000,"Ausgleichszins"))</f>
      </c>
      <c r="G146" s="25">
        <f>IF($A146="","",SUMIFS(Cashflows!$D$5:$D$5000,Cashflows!$B$5:$B$5000,$A146,Cashflows!$C$5:$C$5000,"Ausschüttung"))</f>
      </c>
      <c r="H146" s="25">
        <f>IF($A146="","",SUMIFS(Cashflows!$E$5:$E$5000,Cashflows!$B$5:$B$5000,$A146,Cashflows!$C$5:$C$5000,"Ausschüttung"))</f>
      </c>
      <c r="I146" s="26">
        <f>IF($A146="","",D146-E146+H146)</f>
      </c>
      <c r="J146" s="25">
        <f>IF($A146="","",SUMIFS(Cashflows!$D$5:$D$5000,Cashflows!$B$5:$B$5000,$A146,Cashflows!$G$5:$G$5000,"Angekündigt",Cashflows!$C$5:$C$5000,"&lt;&gt;Ausschüttung"))</f>
      </c>
      <c r="K146" s="27">
        <f>IF($A146="","",IF(COUNTIFS(Cashflows!$B$5:$B$5000,$A146,Cashflows!$G$5:$G$5000,"Angekündigt",Cashflows!$C$5:$C$5000,"&lt;&gt;Ausschüttung",Cashflows!$F$5:$F$5000,"&gt;0")=0,"",MINIFS(Cashflows!$F$5:$F$5000,Cashflows!$B$5:$B$5000,$A146,Cashflows!$G$5:$G$5000,"Angekündigt",Cashflows!$C$5:$C$5000,"&lt;&gt;Ausschüttung",Cashflows!$F$5:$F$5000,"&gt;0")))</f>
      </c>
      <c r="L146" s="25">
        <f>IF($A146="","",I146+J146)</f>
      </c>
    </row>
    <row r="147" spans="1:12" x14ac:dyDescent="0.25">
      <c r="A147" s="23">
        <f>IF(INDEX(Fonds!$A$1:$A$1000,110)="","",INDEX(Fonds!$A$1:$A$1000,110))</f>
      </c>
      <c r="B147" s="23">
        <f>IF($A147="","",INDEX(Fonds!$B$1:$B$1000,110)&amp;"")</f>
      </c>
      <c r="C147" s="23">
        <f>IF($A147="","",INDEX(Fonds!$D$1:$D$1000,110)&amp;"")</f>
      </c>
      <c r="D147" s="25">
        <f>IF($A147="","",INDEX(Fonds!$E$1:$E$1000,110))</f>
      </c>
      <c r="E147" s="25">
        <f>IF($A147="","",SUMIFS(Cashflows!$D$5:$D$5000,Cashflows!$B$5:$B$5000,$A147,Cashflows!$C$5:$C$5000,"Abruf"))</f>
      </c>
      <c r="F147" s="25">
        <f>IF($A147="","",SUMIFS(Cashflows!$D$5:$D$5000,Cashflows!$B$5:$B$5000,$A147,Cashflows!$C$5:$C$5000,"Gebühr außerhalb der Zusage")+SUMIFS(Cashflows!$D$5:$D$5000,Cashflows!$B$5:$B$5000,$A147,Cashflows!$C$5:$C$5000,"Ausgleichszins"))</f>
      </c>
      <c r="G147" s="25">
        <f>IF($A147="","",SUMIFS(Cashflows!$D$5:$D$5000,Cashflows!$B$5:$B$5000,$A147,Cashflows!$C$5:$C$5000,"Ausschüttung"))</f>
      </c>
      <c r="H147" s="25">
        <f>IF($A147="","",SUMIFS(Cashflows!$E$5:$E$5000,Cashflows!$B$5:$B$5000,$A147,Cashflows!$C$5:$C$5000,"Ausschüttung"))</f>
      </c>
      <c r="I147" s="26">
        <f>IF($A147="","",D147-E147+H147)</f>
      </c>
      <c r="J147" s="25">
        <f>IF($A147="","",SUMIFS(Cashflows!$D$5:$D$5000,Cashflows!$B$5:$B$5000,$A147,Cashflows!$G$5:$G$5000,"Angekündigt",Cashflows!$C$5:$C$5000,"&lt;&gt;Ausschüttung"))</f>
      </c>
      <c r="K147" s="27">
        <f>IF($A147="","",IF(COUNTIFS(Cashflows!$B$5:$B$5000,$A147,Cashflows!$G$5:$G$5000,"Angekündigt",Cashflows!$C$5:$C$5000,"&lt;&gt;Ausschüttung",Cashflows!$F$5:$F$5000,"&gt;0")=0,"",MINIFS(Cashflows!$F$5:$F$5000,Cashflows!$B$5:$B$5000,$A147,Cashflows!$G$5:$G$5000,"Angekündigt",Cashflows!$C$5:$C$5000,"&lt;&gt;Ausschüttung",Cashflows!$F$5:$F$5000,"&gt;0")))</f>
      </c>
      <c r="L147" s="25">
        <f>IF($A147="","",I147+J147)</f>
      </c>
    </row>
    <row r="148" spans="1:12" x14ac:dyDescent="0.25">
      <c r="A148" s="23">
        <f>IF(INDEX(Fonds!$A$1:$A$1000,111)="","",INDEX(Fonds!$A$1:$A$1000,111))</f>
      </c>
      <c r="B148" s="23">
        <f>IF($A148="","",INDEX(Fonds!$B$1:$B$1000,111)&amp;"")</f>
      </c>
      <c r="C148" s="23">
        <f>IF($A148="","",INDEX(Fonds!$D$1:$D$1000,111)&amp;"")</f>
      </c>
      <c r="D148" s="25">
        <f>IF($A148="","",INDEX(Fonds!$E$1:$E$1000,111))</f>
      </c>
      <c r="E148" s="25">
        <f>IF($A148="","",SUMIFS(Cashflows!$D$5:$D$5000,Cashflows!$B$5:$B$5000,$A148,Cashflows!$C$5:$C$5000,"Abruf"))</f>
      </c>
      <c r="F148" s="25">
        <f>IF($A148="","",SUMIFS(Cashflows!$D$5:$D$5000,Cashflows!$B$5:$B$5000,$A148,Cashflows!$C$5:$C$5000,"Gebühr außerhalb der Zusage")+SUMIFS(Cashflows!$D$5:$D$5000,Cashflows!$B$5:$B$5000,$A148,Cashflows!$C$5:$C$5000,"Ausgleichszins"))</f>
      </c>
      <c r="G148" s="25">
        <f>IF($A148="","",SUMIFS(Cashflows!$D$5:$D$5000,Cashflows!$B$5:$B$5000,$A148,Cashflows!$C$5:$C$5000,"Ausschüttung"))</f>
      </c>
      <c r="H148" s="25">
        <f>IF($A148="","",SUMIFS(Cashflows!$E$5:$E$5000,Cashflows!$B$5:$B$5000,$A148,Cashflows!$C$5:$C$5000,"Ausschüttung"))</f>
      </c>
      <c r="I148" s="26">
        <f>IF($A148="","",D148-E148+H148)</f>
      </c>
      <c r="J148" s="25">
        <f>IF($A148="","",SUMIFS(Cashflows!$D$5:$D$5000,Cashflows!$B$5:$B$5000,$A148,Cashflows!$G$5:$G$5000,"Angekündigt",Cashflows!$C$5:$C$5000,"&lt;&gt;Ausschüttung"))</f>
      </c>
      <c r="K148" s="27">
        <f>IF($A148="","",IF(COUNTIFS(Cashflows!$B$5:$B$5000,$A148,Cashflows!$G$5:$G$5000,"Angekündigt",Cashflows!$C$5:$C$5000,"&lt;&gt;Ausschüttung",Cashflows!$F$5:$F$5000,"&gt;0")=0,"",MINIFS(Cashflows!$F$5:$F$5000,Cashflows!$B$5:$B$5000,$A148,Cashflows!$G$5:$G$5000,"Angekündigt",Cashflows!$C$5:$C$5000,"&lt;&gt;Ausschüttung",Cashflows!$F$5:$F$5000,"&gt;0")))</f>
      </c>
      <c r="L148" s="25">
        <f>IF($A148="","",I148+J148)</f>
      </c>
    </row>
    <row r="149" spans="1:12" x14ac:dyDescent="0.25">
      <c r="A149" s="23">
        <f>IF(INDEX(Fonds!$A$1:$A$1000,112)="","",INDEX(Fonds!$A$1:$A$1000,112))</f>
      </c>
      <c r="B149" s="23">
        <f>IF($A149="","",INDEX(Fonds!$B$1:$B$1000,112)&amp;"")</f>
      </c>
      <c r="C149" s="23">
        <f>IF($A149="","",INDEX(Fonds!$D$1:$D$1000,112)&amp;"")</f>
      </c>
      <c r="D149" s="25">
        <f>IF($A149="","",INDEX(Fonds!$E$1:$E$1000,112))</f>
      </c>
      <c r="E149" s="25">
        <f>IF($A149="","",SUMIFS(Cashflows!$D$5:$D$5000,Cashflows!$B$5:$B$5000,$A149,Cashflows!$C$5:$C$5000,"Abruf"))</f>
      </c>
      <c r="F149" s="25">
        <f>IF($A149="","",SUMIFS(Cashflows!$D$5:$D$5000,Cashflows!$B$5:$B$5000,$A149,Cashflows!$C$5:$C$5000,"Gebühr außerhalb der Zusage")+SUMIFS(Cashflows!$D$5:$D$5000,Cashflows!$B$5:$B$5000,$A149,Cashflows!$C$5:$C$5000,"Ausgleichszins"))</f>
      </c>
      <c r="G149" s="25">
        <f>IF($A149="","",SUMIFS(Cashflows!$D$5:$D$5000,Cashflows!$B$5:$B$5000,$A149,Cashflows!$C$5:$C$5000,"Ausschüttung"))</f>
      </c>
      <c r="H149" s="25">
        <f>IF($A149="","",SUMIFS(Cashflows!$E$5:$E$5000,Cashflows!$B$5:$B$5000,$A149,Cashflows!$C$5:$C$5000,"Ausschüttung"))</f>
      </c>
      <c r="I149" s="26">
        <f>IF($A149="","",D149-E149+H149)</f>
      </c>
      <c r="J149" s="25">
        <f>IF($A149="","",SUMIFS(Cashflows!$D$5:$D$5000,Cashflows!$B$5:$B$5000,$A149,Cashflows!$G$5:$G$5000,"Angekündigt",Cashflows!$C$5:$C$5000,"&lt;&gt;Ausschüttung"))</f>
      </c>
      <c r="K149" s="27">
        <f>IF($A149="","",IF(COUNTIFS(Cashflows!$B$5:$B$5000,$A149,Cashflows!$G$5:$G$5000,"Angekündigt",Cashflows!$C$5:$C$5000,"&lt;&gt;Ausschüttung",Cashflows!$F$5:$F$5000,"&gt;0")=0,"",MINIFS(Cashflows!$F$5:$F$5000,Cashflows!$B$5:$B$5000,$A149,Cashflows!$G$5:$G$5000,"Angekündigt",Cashflows!$C$5:$C$5000,"&lt;&gt;Ausschüttung",Cashflows!$F$5:$F$5000,"&gt;0")))</f>
      </c>
      <c r="L149" s="25">
        <f>IF($A149="","",I149+J149)</f>
      </c>
    </row>
    <row r="150" spans="1:12" x14ac:dyDescent="0.25">
      <c r="A150" s="23">
        <f>IF(INDEX(Fonds!$A$1:$A$1000,113)="","",INDEX(Fonds!$A$1:$A$1000,113))</f>
      </c>
      <c r="B150" s="23">
        <f>IF($A150="","",INDEX(Fonds!$B$1:$B$1000,113)&amp;"")</f>
      </c>
      <c r="C150" s="23">
        <f>IF($A150="","",INDEX(Fonds!$D$1:$D$1000,113)&amp;"")</f>
      </c>
      <c r="D150" s="25">
        <f>IF($A150="","",INDEX(Fonds!$E$1:$E$1000,113))</f>
      </c>
      <c r="E150" s="25">
        <f>IF($A150="","",SUMIFS(Cashflows!$D$5:$D$5000,Cashflows!$B$5:$B$5000,$A150,Cashflows!$C$5:$C$5000,"Abruf"))</f>
      </c>
      <c r="F150" s="25">
        <f>IF($A150="","",SUMIFS(Cashflows!$D$5:$D$5000,Cashflows!$B$5:$B$5000,$A150,Cashflows!$C$5:$C$5000,"Gebühr außerhalb der Zusage")+SUMIFS(Cashflows!$D$5:$D$5000,Cashflows!$B$5:$B$5000,$A150,Cashflows!$C$5:$C$5000,"Ausgleichszins"))</f>
      </c>
      <c r="G150" s="25">
        <f>IF($A150="","",SUMIFS(Cashflows!$D$5:$D$5000,Cashflows!$B$5:$B$5000,$A150,Cashflows!$C$5:$C$5000,"Ausschüttung"))</f>
      </c>
      <c r="H150" s="25">
        <f>IF($A150="","",SUMIFS(Cashflows!$E$5:$E$5000,Cashflows!$B$5:$B$5000,$A150,Cashflows!$C$5:$C$5000,"Ausschüttung"))</f>
      </c>
      <c r="I150" s="26">
        <f>IF($A150="","",D150-E150+H150)</f>
      </c>
      <c r="J150" s="25">
        <f>IF($A150="","",SUMIFS(Cashflows!$D$5:$D$5000,Cashflows!$B$5:$B$5000,$A150,Cashflows!$G$5:$G$5000,"Angekündigt",Cashflows!$C$5:$C$5000,"&lt;&gt;Ausschüttung"))</f>
      </c>
      <c r="K150" s="27">
        <f>IF($A150="","",IF(COUNTIFS(Cashflows!$B$5:$B$5000,$A150,Cashflows!$G$5:$G$5000,"Angekündigt",Cashflows!$C$5:$C$5000,"&lt;&gt;Ausschüttung",Cashflows!$F$5:$F$5000,"&gt;0")=0,"",MINIFS(Cashflows!$F$5:$F$5000,Cashflows!$B$5:$B$5000,$A150,Cashflows!$G$5:$G$5000,"Angekündigt",Cashflows!$C$5:$C$5000,"&lt;&gt;Ausschüttung",Cashflows!$F$5:$F$5000,"&gt;0")))</f>
      </c>
      <c r="L150" s="25">
        <f>IF($A150="","",I150+J150)</f>
      </c>
    </row>
    <row r="151" spans="1:12" x14ac:dyDescent="0.25">
      <c r="A151" s="23">
        <f>IF(INDEX(Fonds!$A$1:$A$1000,114)="","",INDEX(Fonds!$A$1:$A$1000,114))</f>
      </c>
      <c r="B151" s="23">
        <f>IF($A151="","",INDEX(Fonds!$B$1:$B$1000,114)&amp;"")</f>
      </c>
      <c r="C151" s="23">
        <f>IF($A151="","",INDEX(Fonds!$D$1:$D$1000,114)&amp;"")</f>
      </c>
      <c r="D151" s="25">
        <f>IF($A151="","",INDEX(Fonds!$E$1:$E$1000,114))</f>
      </c>
      <c r="E151" s="25">
        <f>IF($A151="","",SUMIFS(Cashflows!$D$5:$D$5000,Cashflows!$B$5:$B$5000,$A151,Cashflows!$C$5:$C$5000,"Abruf"))</f>
      </c>
      <c r="F151" s="25">
        <f>IF($A151="","",SUMIFS(Cashflows!$D$5:$D$5000,Cashflows!$B$5:$B$5000,$A151,Cashflows!$C$5:$C$5000,"Gebühr außerhalb der Zusage")+SUMIFS(Cashflows!$D$5:$D$5000,Cashflows!$B$5:$B$5000,$A151,Cashflows!$C$5:$C$5000,"Ausgleichszins"))</f>
      </c>
      <c r="G151" s="25">
        <f>IF($A151="","",SUMIFS(Cashflows!$D$5:$D$5000,Cashflows!$B$5:$B$5000,$A151,Cashflows!$C$5:$C$5000,"Ausschüttung"))</f>
      </c>
      <c r="H151" s="25">
        <f>IF($A151="","",SUMIFS(Cashflows!$E$5:$E$5000,Cashflows!$B$5:$B$5000,$A151,Cashflows!$C$5:$C$5000,"Ausschüttung"))</f>
      </c>
      <c r="I151" s="26">
        <f>IF($A151="","",D151-E151+H151)</f>
      </c>
      <c r="J151" s="25">
        <f>IF($A151="","",SUMIFS(Cashflows!$D$5:$D$5000,Cashflows!$B$5:$B$5000,$A151,Cashflows!$G$5:$G$5000,"Angekündigt",Cashflows!$C$5:$C$5000,"&lt;&gt;Ausschüttung"))</f>
      </c>
      <c r="K151" s="27">
        <f>IF($A151="","",IF(COUNTIFS(Cashflows!$B$5:$B$5000,$A151,Cashflows!$G$5:$G$5000,"Angekündigt",Cashflows!$C$5:$C$5000,"&lt;&gt;Ausschüttung",Cashflows!$F$5:$F$5000,"&gt;0")=0,"",MINIFS(Cashflows!$F$5:$F$5000,Cashflows!$B$5:$B$5000,$A151,Cashflows!$G$5:$G$5000,"Angekündigt",Cashflows!$C$5:$C$5000,"&lt;&gt;Ausschüttung",Cashflows!$F$5:$F$5000,"&gt;0")))</f>
      </c>
      <c r="L151" s="25">
        <f>IF($A151="","",I151+J151)</f>
      </c>
    </row>
    <row r="152" spans="1:12" x14ac:dyDescent="0.25">
      <c r="A152" s="23">
        <f>IF(INDEX(Fonds!$A$1:$A$1000,115)="","",INDEX(Fonds!$A$1:$A$1000,115))</f>
      </c>
      <c r="B152" s="23">
        <f>IF($A152="","",INDEX(Fonds!$B$1:$B$1000,115)&amp;"")</f>
      </c>
      <c r="C152" s="23">
        <f>IF($A152="","",INDEX(Fonds!$D$1:$D$1000,115)&amp;"")</f>
      </c>
      <c r="D152" s="25">
        <f>IF($A152="","",INDEX(Fonds!$E$1:$E$1000,115))</f>
      </c>
      <c r="E152" s="25">
        <f>IF($A152="","",SUMIFS(Cashflows!$D$5:$D$5000,Cashflows!$B$5:$B$5000,$A152,Cashflows!$C$5:$C$5000,"Abruf"))</f>
      </c>
      <c r="F152" s="25">
        <f>IF($A152="","",SUMIFS(Cashflows!$D$5:$D$5000,Cashflows!$B$5:$B$5000,$A152,Cashflows!$C$5:$C$5000,"Gebühr außerhalb der Zusage")+SUMIFS(Cashflows!$D$5:$D$5000,Cashflows!$B$5:$B$5000,$A152,Cashflows!$C$5:$C$5000,"Ausgleichszins"))</f>
      </c>
      <c r="G152" s="25">
        <f>IF($A152="","",SUMIFS(Cashflows!$D$5:$D$5000,Cashflows!$B$5:$B$5000,$A152,Cashflows!$C$5:$C$5000,"Ausschüttung"))</f>
      </c>
      <c r="H152" s="25">
        <f>IF($A152="","",SUMIFS(Cashflows!$E$5:$E$5000,Cashflows!$B$5:$B$5000,$A152,Cashflows!$C$5:$C$5000,"Ausschüttung"))</f>
      </c>
      <c r="I152" s="26">
        <f>IF($A152="","",D152-E152+H152)</f>
      </c>
      <c r="J152" s="25">
        <f>IF($A152="","",SUMIFS(Cashflows!$D$5:$D$5000,Cashflows!$B$5:$B$5000,$A152,Cashflows!$G$5:$G$5000,"Angekündigt",Cashflows!$C$5:$C$5000,"&lt;&gt;Ausschüttung"))</f>
      </c>
      <c r="K152" s="27">
        <f>IF($A152="","",IF(COUNTIFS(Cashflows!$B$5:$B$5000,$A152,Cashflows!$G$5:$G$5000,"Angekündigt",Cashflows!$C$5:$C$5000,"&lt;&gt;Ausschüttung",Cashflows!$F$5:$F$5000,"&gt;0")=0,"",MINIFS(Cashflows!$F$5:$F$5000,Cashflows!$B$5:$B$5000,$A152,Cashflows!$G$5:$G$5000,"Angekündigt",Cashflows!$C$5:$C$5000,"&lt;&gt;Ausschüttung",Cashflows!$F$5:$F$5000,"&gt;0")))</f>
      </c>
      <c r="L152" s="25">
        <f>IF($A152="","",I152+J152)</f>
      </c>
    </row>
    <row r="153" spans="1:12" x14ac:dyDescent="0.25">
      <c r="A153" s="23">
        <f>IF(INDEX(Fonds!$A$1:$A$1000,116)="","",INDEX(Fonds!$A$1:$A$1000,116))</f>
      </c>
      <c r="B153" s="23">
        <f>IF($A153="","",INDEX(Fonds!$B$1:$B$1000,116)&amp;"")</f>
      </c>
      <c r="C153" s="23">
        <f>IF($A153="","",INDEX(Fonds!$D$1:$D$1000,116)&amp;"")</f>
      </c>
      <c r="D153" s="25">
        <f>IF($A153="","",INDEX(Fonds!$E$1:$E$1000,116))</f>
      </c>
      <c r="E153" s="25">
        <f>IF($A153="","",SUMIFS(Cashflows!$D$5:$D$5000,Cashflows!$B$5:$B$5000,$A153,Cashflows!$C$5:$C$5000,"Abruf"))</f>
      </c>
      <c r="F153" s="25">
        <f>IF($A153="","",SUMIFS(Cashflows!$D$5:$D$5000,Cashflows!$B$5:$B$5000,$A153,Cashflows!$C$5:$C$5000,"Gebühr außerhalb der Zusage")+SUMIFS(Cashflows!$D$5:$D$5000,Cashflows!$B$5:$B$5000,$A153,Cashflows!$C$5:$C$5000,"Ausgleichszins"))</f>
      </c>
      <c r="G153" s="25">
        <f>IF($A153="","",SUMIFS(Cashflows!$D$5:$D$5000,Cashflows!$B$5:$B$5000,$A153,Cashflows!$C$5:$C$5000,"Ausschüttung"))</f>
      </c>
      <c r="H153" s="25">
        <f>IF($A153="","",SUMIFS(Cashflows!$E$5:$E$5000,Cashflows!$B$5:$B$5000,$A153,Cashflows!$C$5:$C$5000,"Ausschüttung"))</f>
      </c>
      <c r="I153" s="26">
        <f>IF($A153="","",D153-E153+H153)</f>
      </c>
      <c r="J153" s="25">
        <f>IF($A153="","",SUMIFS(Cashflows!$D$5:$D$5000,Cashflows!$B$5:$B$5000,$A153,Cashflows!$G$5:$G$5000,"Angekündigt",Cashflows!$C$5:$C$5000,"&lt;&gt;Ausschüttung"))</f>
      </c>
      <c r="K153" s="27">
        <f>IF($A153="","",IF(COUNTIFS(Cashflows!$B$5:$B$5000,$A153,Cashflows!$G$5:$G$5000,"Angekündigt",Cashflows!$C$5:$C$5000,"&lt;&gt;Ausschüttung",Cashflows!$F$5:$F$5000,"&gt;0")=0,"",MINIFS(Cashflows!$F$5:$F$5000,Cashflows!$B$5:$B$5000,$A153,Cashflows!$G$5:$G$5000,"Angekündigt",Cashflows!$C$5:$C$5000,"&lt;&gt;Ausschüttung",Cashflows!$F$5:$F$5000,"&gt;0")))</f>
      </c>
      <c r="L153" s="25">
        <f>IF($A153="","",I153+J153)</f>
      </c>
    </row>
    <row r="154" spans="1:12" x14ac:dyDescent="0.25">
      <c r="A154" s="23">
        <f>IF(INDEX(Fonds!$A$1:$A$1000,117)="","",INDEX(Fonds!$A$1:$A$1000,117))</f>
      </c>
      <c r="B154" s="23">
        <f>IF($A154="","",INDEX(Fonds!$B$1:$B$1000,117)&amp;"")</f>
      </c>
      <c r="C154" s="23">
        <f>IF($A154="","",INDEX(Fonds!$D$1:$D$1000,117)&amp;"")</f>
      </c>
      <c r="D154" s="25">
        <f>IF($A154="","",INDEX(Fonds!$E$1:$E$1000,117))</f>
      </c>
      <c r="E154" s="25">
        <f>IF($A154="","",SUMIFS(Cashflows!$D$5:$D$5000,Cashflows!$B$5:$B$5000,$A154,Cashflows!$C$5:$C$5000,"Abruf"))</f>
      </c>
      <c r="F154" s="25">
        <f>IF($A154="","",SUMIFS(Cashflows!$D$5:$D$5000,Cashflows!$B$5:$B$5000,$A154,Cashflows!$C$5:$C$5000,"Gebühr außerhalb der Zusage")+SUMIFS(Cashflows!$D$5:$D$5000,Cashflows!$B$5:$B$5000,$A154,Cashflows!$C$5:$C$5000,"Ausgleichszins"))</f>
      </c>
      <c r="G154" s="25">
        <f>IF($A154="","",SUMIFS(Cashflows!$D$5:$D$5000,Cashflows!$B$5:$B$5000,$A154,Cashflows!$C$5:$C$5000,"Ausschüttung"))</f>
      </c>
      <c r="H154" s="25">
        <f>IF($A154="","",SUMIFS(Cashflows!$E$5:$E$5000,Cashflows!$B$5:$B$5000,$A154,Cashflows!$C$5:$C$5000,"Ausschüttung"))</f>
      </c>
      <c r="I154" s="26">
        <f>IF($A154="","",D154-E154+H154)</f>
      </c>
      <c r="J154" s="25">
        <f>IF($A154="","",SUMIFS(Cashflows!$D$5:$D$5000,Cashflows!$B$5:$B$5000,$A154,Cashflows!$G$5:$G$5000,"Angekündigt",Cashflows!$C$5:$C$5000,"&lt;&gt;Ausschüttung"))</f>
      </c>
      <c r="K154" s="27">
        <f>IF($A154="","",IF(COUNTIFS(Cashflows!$B$5:$B$5000,$A154,Cashflows!$G$5:$G$5000,"Angekündigt",Cashflows!$C$5:$C$5000,"&lt;&gt;Ausschüttung",Cashflows!$F$5:$F$5000,"&gt;0")=0,"",MINIFS(Cashflows!$F$5:$F$5000,Cashflows!$B$5:$B$5000,$A154,Cashflows!$G$5:$G$5000,"Angekündigt",Cashflows!$C$5:$C$5000,"&lt;&gt;Ausschüttung",Cashflows!$F$5:$F$5000,"&gt;0")))</f>
      </c>
      <c r="L154" s="25">
        <f>IF($A154="","",I154+J154)</f>
      </c>
    </row>
    <row r="155" spans="1:12" x14ac:dyDescent="0.25">
      <c r="A155" s="23">
        <f>IF(INDEX(Fonds!$A$1:$A$1000,118)="","",INDEX(Fonds!$A$1:$A$1000,118))</f>
      </c>
      <c r="B155" s="23">
        <f>IF($A155="","",INDEX(Fonds!$B$1:$B$1000,118)&amp;"")</f>
      </c>
      <c r="C155" s="23">
        <f>IF($A155="","",INDEX(Fonds!$D$1:$D$1000,118)&amp;"")</f>
      </c>
      <c r="D155" s="25">
        <f>IF($A155="","",INDEX(Fonds!$E$1:$E$1000,118))</f>
      </c>
      <c r="E155" s="25">
        <f>IF($A155="","",SUMIFS(Cashflows!$D$5:$D$5000,Cashflows!$B$5:$B$5000,$A155,Cashflows!$C$5:$C$5000,"Abruf"))</f>
      </c>
      <c r="F155" s="25">
        <f>IF($A155="","",SUMIFS(Cashflows!$D$5:$D$5000,Cashflows!$B$5:$B$5000,$A155,Cashflows!$C$5:$C$5000,"Gebühr außerhalb der Zusage")+SUMIFS(Cashflows!$D$5:$D$5000,Cashflows!$B$5:$B$5000,$A155,Cashflows!$C$5:$C$5000,"Ausgleichszins"))</f>
      </c>
      <c r="G155" s="25">
        <f>IF($A155="","",SUMIFS(Cashflows!$D$5:$D$5000,Cashflows!$B$5:$B$5000,$A155,Cashflows!$C$5:$C$5000,"Ausschüttung"))</f>
      </c>
      <c r="H155" s="25">
        <f>IF($A155="","",SUMIFS(Cashflows!$E$5:$E$5000,Cashflows!$B$5:$B$5000,$A155,Cashflows!$C$5:$C$5000,"Ausschüttung"))</f>
      </c>
      <c r="I155" s="26">
        <f>IF($A155="","",D155-E155+H155)</f>
      </c>
      <c r="J155" s="25">
        <f>IF($A155="","",SUMIFS(Cashflows!$D$5:$D$5000,Cashflows!$B$5:$B$5000,$A155,Cashflows!$G$5:$G$5000,"Angekündigt",Cashflows!$C$5:$C$5000,"&lt;&gt;Ausschüttung"))</f>
      </c>
      <c r="K155" s="27">
        <f>IF($A155="","",IF(COUNTIFS(Cashflows!$B$5:$B$5000,$A155,Cashflows!$G$5:$G$5000,"Angekündigt",Cashflows!$C$5:$C$5000,"&lt;&gt;Ausschüttung",Cashflows!$F$5:$F$5000,"&gt;0")=0,"",MINIFS(Cashflows!$F$5:$F$5000,Cashflows!$B$5:$B$5000,$A155,Cashflows!$G$5:$G$5000,"Angekündigt",Cashflows!$C$5:$C$5000,"&lt;&gt;Ausschüttung",Cashflows!$F$5:$F$5000,"&gt;0")))</f>
      </c>
      <c r="L155" s="25">
        <f>IF($A155="","",I155+J155)</f>
      </c>
    </row>
    <row r="156" spans="1:12" x14ac:dyDescent="0.25">
      <c r="A156" s="23">
        <f>IF(INDEX(Fonds!$A$1:$A$1000,119)="","",INDEX(Fonds!$A$1:$A$1000,119))</f>
      </c>
      <c r="B156" s="23">
        <f>IF($A156="","",INDEX(Fonds!$B$1:$B$1000,119)&amp;"")</f>
      </c>
      <c r="C156" s="23">
        <f>IF($A156="","",INDEX(Fonds!$D$1:$D$1000,119)&amp;"")</f>
      </c>
      <c r="D156" s="25">
        <f>IF($A156="","",INDEX(Fonds!$E$1:$E$1000,119))</f>
      </c>
      <c r="E156" s="25">
        <f>IF($A156="","",SUMIFS(Cashflows!$D$5:$D$5000,Cashflows!$B$5:$B$5000,$A156,Cashflows!$C$5:$C$5000,"Abruf"))</f>
      </c>
      <c r="F156" s="25">
        <f>IF($A156="","",SUMIFS(Cashflows!$D$5:$D$5000,Cashflows!$B$5:$B$5000,$A156,Cashflows!$C$5:$C$5000,"Gebühr außerhalb der Zusage")+SUMIFS(Cashflows!$D$5:$D$5000,Cashflows!$B$5:$B$5000,$A156,Cashflows!$C$5:$C$5000,"Ausgleichszins"))</f>
      </c>
      <c r="G156" s="25">
        <f>IF($A156="","",SUMIFS(Cashflows!$D$5:$D$5000,Cashflows!$B$5:$B$5000,$A156,Cashflows!$C$5:$C$5000,"Ausschüttung"))</f>
      </c>
      <c r="H156" s="25">
        <f>IF($A156="","",SUMIFS(Cashflows!$E$5:$E$5000,Cashflows!$B$5:$B$5000,$A156,Cashflows!$C$5:$C$5000,"Ausschüttung"))</f>
      </c>
      <c r="I156" s="26">
        <f>IF($A156="","",D156-E156+H156)</f>
      </c>
      <c r="J156" s="25">
        <f>IF($A156="","",SUMIFS(Cashflows!$D$5:$D$5000,Cashflows!$B$5:$B$5000,$A156,Cashflows!$G$5:$G$5000,"Angekündigt",Cashflows!$C$5:$C$5000,"&lt;&gt;Ausschüttung"))</f>
      </c>
      <c r="K156" s="27">
        <f>IF($A156="","",IF(COUNTIFS(Cashflows!$B$5:$B$5000,$A156,Cashflows!$G$5:$G$5000,"Angekündigt",Cashflows!$C$5:$C$5000,"&lt;&gt;Ausschüttung",Cashflows!$F$5:$F$5000,"&gt;0")=0,"",MINIFS(Cashflows!$F$5:$F$5000,Cashflows!$B$5:$B$5000,$A156,Cashflows!$G$5:$G$5000,"Angekündigt",Cashflows!$C$5:$C$5000,"&lt;&gt;Ausschüttung",Cashflows!$F$5:$F$5000,"&gt;0")))</f>
      </c>
      <c r="L156" s="25">
        <f>IF($A156="","",I156+J156)</f>
      </c>
    </row>
    <row r="157" spans="1:12" x14ac:dyDescent="0.25">
      <c r="A157" s="23">
        <f>IF(INDEX(Fonds!$A$1:$A$1000,120)="","",INDEX(Fonds!$A$1:$A$1000,120))</f>
      </c>
      <c r="B157" s="23">
        <f>IF($A157="","",INDEX(Fonds!$B$1:$B$1000,120)&amp;"")</f>
      </c>
      <c r="C157" s="23">
        <f>IF($A157="","",INDEX(Fonds!$D$1:$D$1000,120)&amp;"")</f>
      </c>
      <c r="D157" s="25">
        <f>IF($A157="","",INDEX(Fonds!$E$1:$E$1000,120))</f>
      </c>
      <c r="E157" s="25">
        <f>IF($A157="","",SUMIFS(Cashflows!$D$5:$D$5000,Cashflows!$B$5:$B$5000,$A157,Cashflows!$C$5:$C$5000,"Abruf"))</f>
      </c>
      <c r="F157" s="25">
        <f>IF($A157="","",SUMIFS(Cashflows!$D$5:$D$5000,Cashflows!$B$5:$B$5000,$A157,Cashflows!$C$5:$C$5000,"Gebühr außerhalb der Zusage")+SUMIFS(Cashflows!$D$5:$D$5000,Cashflows!$B$5:$B$5000,$A157,Cashflows!$C$5:$C$5000,"Ausgleichszins"))</f>
      </c>
      <c r="G157" s="25">
        <f>IF($A157="","",SUMIFS(Cashflows!$D$5:$D$5000,Cashflows!$B$5:$B$5000,$A157,Cashflows!$C$5:$C$5000,"Ausschüttung"))</f>
      </c>
      <c r="H157" s="25">
        <f>IF($A157="","",SUMIFS(Cashflows!$E$5:$E$5000,Cashflows!$B$5:$B$5000,$A157,Cashflows!$C$5:$C$5000,"Ausschüttung"))</f>
      </c>
      <c r="I157" s="26">
        <f>IF($A157="","",D157-E157+H157)</f>
      </c>
      <c r="J157" s="25">
        <f>IF($A157="","",SUMIFS(Cashflows!$D$5:$D$5000,Cashflows!$B$5:$B$5000,$A157,Cashflows!$G$5:$G$5000,"Angekündigt",Cashflows!$C$5:$C$5000,"&lt;&gt;Ausschüttung"))</f>
      </c>
      <c r="K157" s="27">
        <f>IF($A157="","",IF(COUNTIFS(Cashflows!$B$5:$B$5000,$A157,Cashflows!$G$5:$G$5000,"Angekündigt",Cashflows!$C$5:$C$5000,"&lt;&gt;Ausschüttung",Cashflows!$F$5:$F$5000,"&gt;0")=0,"",MINIFS(Cashflows!$F$5:$F$5000,Cashflows!$B$5:$B$5000,$A157,Cashflows!$G$5:$G$5000,"Angekündigt",Cashflows!$C$5:$C$5000,"&lt;&gt;Ausschüttung",Cashflows!$F$5:$F$5000,"&gt;0")))</f>
      </c>
      <c r="L157" s="25">
        <f>IF($A157="","",I157+J157)</f>
      </c>
    </row>
    <row r="158" spans="1:12" x14ac:dyDescent="0.25">
      <c r="A158" s="23">
        <f>IF(INDEX(Fonds!$A$1:$A$1000,121)="","",INDEX(Fonds!$A$1:$A$1000,121))</f>
      </c>
      <c r="B158" s="23">
        <f>IF($A158="","",INDEX(Fonds!$B$1:$B$1000,121)&amp;"")</f>
      </c>
      <c r="C158" s="23">
        <f>IF($A158="","",INDEX(Fonds!$D$1:$D$1000,121)&amp;"")</f>
      </c>
      <c r="D158" s="25">
        <f>IF($A158="","",INDEX(Fonds!$E$1:$E$1000,121))</f>
      </c>
      <c r="E158" s="25">
        <f>IF($A158="","",SUMIFS(Cashflows!$D$5:$D$5000,Cashflows!$B$5:$B$5000,$A158,Cashflows!$C$5:$C$5000,"Abruf"))</f>
      </c>
      <c r="F158" s="25">
        <f>IF($A158="","",SUMIFS(Cashflows!$D$5:$D$5000,Cashflows!$B$5:$B$5000,$A158,Cashflows!$C$5:$C$5000,"Gebühr außerhalb der Zusage")+SUMIFS(Cashflows!$D$5:$D$5000,Cashflows!$B$5:$B$5000,$A158,Cashflows!$C$5:$C$5000,"Ausgleichszins"))</f>
      </c>
      <c r="G158" s="25">
        <f>IF($A158="","",SUMIFS(Cashflows!$D$5:$D$5000,Cashflows!$B$5:$B$5000,$A158,Cashflows!$C$5:$C$5000,"Ausschüttung"))</f>
      </c>
      <c r="H158" s="25">
        <f>IF($A158="","",SUMIFS(Cashflows!$E$5:$E$5000,Cashflows!$B$5:$B$5000,$A158,Cashflows!$C$5:$C$5000,"Ausschüttung"))</f>
      </c>
      <c r="I158" s="26">
        <f>IF($A158="","",D158-E158+H158)</f>
      </c>
      <c r="J158" s="25">
        <f>IF($A158="","",SUMIFS(Cashflows!$D$5:$D$5000,Cashflows!$B$5:$B$5000,$A158,Cashflows!$G$5:$G$5000,"Angekündigt",Cashflows!$C$5:$C$5000,"&lt;&gt;Ausschüttung"))</f>
      </c>
      <c r="K158" s="27">
        <f>IF($A158="","",IF(COUNTIFS(Cashflows!$B$5:$B$5000,$A158,Cashflows!$G$5:$G$5000,"Angekündigt",Cashflows!$C$5:$C$5000,"&lt;&gt;Ausschüttung",Cashflows!$F$5:$F$5000,"&gt;0")=0,"",MINIFS(Cashflows!$F$5:$F$5000,Cashflows!$B$5:$B$5000,$A158,Cashflows!$G$5:$G$5000,"Angekündigt",Cashflows!$C$5:$C$5000,"&lt;&gt;Ausschüttung",Cashflows!$F$5:$F$5000,"&gt;0")))</f>
      </c>
      <c r="L158" s="25">
        <f>IF($A158="","",I158+J158)</f>
      </c>
    </row>
    <row r="159" spans="1:12" x14ac:dyDescent="0.25">
      <c r="A159" s="23">
        <f>IF(INDEX(Fonds!$A$1:$A$1000,122)="","",INDEX(Fonds!$A$1:$A$1000,122))</f>
      </c>
      <c r="B159" s="23">
        <f>IF($A159="","",INDEX(Fonds!$B$1:$B$1000,122)&amp;"")</f>
      </c>
      <c r="C159" s="23">
        <f>IF($A159="","",INDEX(Fonds!$D$1:$D$1000,122)&amp;"")</f>
      </c>
      <c r="D159" s="25">
        <f>IF($A159="","",INDEX(Fonds!$E$1:$E$1000,122))</f>
      </c>
      <c r="E159" s="25">
        <f>IF($A159="","",SUMIFS(Cashflows!$D$5:$D$5000,Cashflows!$B$5:$B$5000,$A159,Cashflows!$C$5:$C$5000,"Abruf"))</f>
      </c>
      <c r="F159" s="25">
        <f>IF($A159="","",SUMIFS(Cashflows!$D$5:$D$5000,Cashflows!$B$5:$B$5000,$A159,Cashflows!$C$5:$C$5000,"Gebühr außerhalb der Zusage")+SUMIFS(Cashflows!$D$5:$D$5000,Cashflows!$B$5:$B$5000,$A159,Cashflows!$C$5:$C$5000,"Ausgleichszins"))</f>
      </c>
      <c r="G159" s="25">
        <f>IF($A159="","",SUMIFS(Cashflows!$D$5:$D$5000,Cashflows!$B$5:$B$5000,$A159,Cashflows!$C$5:$C$5000,"Ausschüttung"))</f>
      </c>
      <c r="H159" s="25">
        <f>IF($A159="","",SUMIFS(Cashflows!$E$5:$E$5000,Cashflows!$B$5:$B$5000,$A159,Cashflows!$C$5:$C$5000,"Ausschüttung"))</f>
      </c>
      <c r="I159" s="26">
        <f>IF($A159="","",D159-E159+H159)</f>
      </c>
      <c r="J159" s="25">
        <f>IF($A159="","",SUMIFS(Cashflows!$D$5:$D$5000,Cashflows!$B$5:$B$5000,$A159,Cashflows!$G$5:$G$5000,"Angekündigt",Cashflows!$C$5:$C$5000,"&lt;&gt;Ausschüttung"))</f>
      </c>
      <c r="K159" s="27">
        <f>IF($A159="","",IF(COUNTIFS(Cashflows!$B$5:$B$5000,$A159,Cashflows!$G$5:$G$5000,"Angekündigt",Cashflows!$C$5:$C$5000,"&lt;&gt;Ausschüttung",Cashflows!$F$5:$F$5000,"&gt;0")=0,"",MINIFS(Cashflows!$F$5:$F$5000,Cashflows!$B$5:$B$5000,$A159,Cashflows!$G$5:$G$5000,"Angekündigt",Cashflows!$C$5:$C$5000,"&lt;&gt;Ausschüttung",Cashflows!$F$5:$F$5000,"&gt;0")))</f>
      </c>
      <c r="L159" s="25">
        <f>IF($A159="","",I159+J159)</f>
      </c>
    </row>
    <row r="160" spans="1:12" x14ac:dyDescent="0.25">
      <c r="A160" s="23">
        <f>IF(INDEX(Fonds!$A$1:$A$1000,123)="","",INDEX(Fonds!$A$1:$A$1000,123))</f>
      </c>
      <c r="B160" s="23">
        <f>IF($A160="","",INDEX(Fonds!$B$1:$B$1000,123)&amp;"")</f>
      </c>
      <c r="C160" s="23">
        <f>IF($A160="","",INDEX(Fonds!$D$1:$D$1000,123)&amp;"")</f>
      </c>
      <c r="D160" s="25">
        <f>IF($A160="","",INDEX(Fonds!$E$1:$E$1000,123))</f>
      </c>
      <c r="E160" s="25">
        <f>IF($A160="","",SUMIFS(Cashflows!$D$5:$D$5000,Cashflows!$B$5:$B$5000,$A160,Cashflows!$C$5:$C$5000,"Abruf"))</f>
      </c>
      <c r="F160" s="25">
        <f>IF($A160="","",SUMIFS(Cashflows!$D$5:$D$5000,Cashflows!$B$5:$B$5000,$A160,Cashflows!$C$5:$C$5000,"Gebühr außerhalb der Zusage")+SUMIFS(Cashflows!$D$5:$D$5000,Cashflows!$B$5:$B$5000,$A160,Cashflows!$C$5:$C$5000,"Ausgleichszins"))</f>
      </c>
      <c r="G160" s="25">
        <f>IF($A160="","",SUMIFS(Cashflows!$D$5:$D$5000,Cashflows!$B$5:$B$5000,$A160,Cashflows!$C$5:$C$5000,"Ausschüttung"))</f>
      </c>
      <c r="H160" s="25">
        <f>IF($A160="","",SUMIFS(Cashflows!$E$5:$E$5000,Cashflows!$B$5:$B$5000,$A160,Cashflows!$C$5:$C$5000,"Ausschüttung"))</f>
      </c>
      <c r="I160" s="26">
        <f>IF($A160="","",D160-E160+H160)</f>
      </c>
      <c r="J160" s="25">
        <f>IF($A160="","",SUMIFS(Cashflows!$D$5:$D$5000,Cashflows!$B$5:$B$5000,$A160,Cashflows!$G$5:$G$5000,"Angekündigt",Cashflows!$C$5:$C$5000,"&lt;&gt;Ausschüttung"))</f>
      </c>
      <c r="K160" s="27">
        <f>IF($A160="","",IF(COUNTIFS(Cashflows!$B$5:$B$5000,$A160,Cashflows!$G$5:$G$5000,"Angekündigt",Cashflows!$C$5:$C$5000,"&lt;&gt;Ausschüttung",Cashflows!$F$5:$F$5000,"&gt;0")=0,"",MINIFS(Cashflows!$F$5:$F$5000,Cashflows!$B$5:$B$5000,$A160,Cashflows!$G$5:$G$5000,"Angekündigt",Cashflows!$C$5:$C$5000,"&lt;&gt;Ausschüttung",Cashflows!$F$5:$F$5000,"&gt;0")))</f>
      </c>
      <c r="L160" s="25">
        <f>IF($A160="","",I160+J160)</f>
      </c>
    </row>
    <row r="161" spans="1:12" x14ac:dyDescent="0.25">
      <c r="A161" s="23">
        <f>IF(INDEX(Fonds!$A$1:$A$1000,124)="","",INDEX(Fonds!$A$1:$A$1000,124))</f>
      </c>
      <c r="B161" s="23">
        <f>IF($A161="","",INDEX(Fonds!$B$1:$B$1000,124)&amp;"")</f>
      </c>
      <c r="C161" s="23">
        <f>IF($A161="","",INDEX(Fonds!$D$1:$D$1000,124)&amp;"")</f>
      </c>
      <c r="D161" s="25">
        <f>IF($A161="","",INDEX(Fonds!$E$1:$E$1000,124))</f>
      </c>
      <c r="E161" s="25">
        <f>IF($A161="","",SUMIFS(Cashflows!$D$5:$D$5000,Cashflows!$B$5:$B$5000,$A161,Cashflows!$C$5:$C$5000,"Abruf"))</f>
      </c>
      <c r="F161" s="25">
        <f>IF($A161="","",SUMIFS(Cashflows!$D$5:$D$5000,Cashflows!$B$5:$B$5000,$A161,Cashflows!$C$5:$C$5000,"Gebühr außerhalb der Zusage")+SUMIFS(Cashflows!$D$5:$D$5000,Cashflows!$B$5:$B$5000,$A161,Cashflows!$C$5:$C$5000,"Ausgleichszins"))</f>
      </c>
      <c r="G161" s="25">
        <f>IF($A161="","",SUMIFS(Cashflows!$D$5:$D$5000,Cashflows!$B$5:$B$5000,$A161,Cashflows!$C$5:$C$5000,"Ausschüttung"))</f>
      </c>
      <c r="H161" s="25">
        <f>IF($A161="","",SUMIFS(Cashflows!$E$5:$E$5000,Cashflows!$B$5:$B$5000,$A161,Cashflows!$C$5:$C$5000,"Ausschüttung"))</f>
      </c>
      <c r="I161" s="26">
        <f>IF($A161="","",D161-E161+H161)</f>
      </c>
      <c r="J161" s="25">
        <f>IF($A161="","",SUMIFS(Cashflows!$D$5:$D$5000,Cashflows!$B$5:$B$5000,$A161,Cashflows!$G$5:$G$5000,"Angekündigt",Cashflows!$C$5:$C$5000,"&lt;&gt;Ausschüttung"))</f>
      </c>
      <c r="K161" s="27">
        <f>IF($A161="","",IF(COUNTIFS(Cashflows!$B$5:$B$5000,$A161,Cashflows!$G$5:$G$5000,"Angekündigt",Cashflows!$C$5:$C$5000,"&lt;&gt;Ausschüttung",Cashflows!$F$5:$F$5000,"&gt;0")=0,"",MINIFS(Cashflows!$F$5:$F$5000,Cashflows!$B$5:$B$5000,$A161,Cashflows!$G$5:$G$5000,"Angekündigt",Cashflows!$C$5:$C$5000,"&lt;&gt;Ausschüttung",Cashflows!$F$5:$F$5000,"&gt;0")))</f>
      </c>
      <c r="L161" s="25">
        <f>IF($A161="","",I161+J161)</f>
      </c>
    </row>
    <row r="162" spans="1:12" x14ac:dyDescent="0.25">
      <c r="A162" s="23">
        <f>IF(INDEX(Fonds!$A$1:$A$1000,125)="","",INDEX(Fonds!$A$1:$A$1000,125))</f>
      </c>
      <c r="B162" s="23">
        <f>IF($A162="","",INDEX(Fonds!$B$1:$B$1000,125)&amp;"")</f>
      </c>
      <c r="C162" s="23">
        <f>IF($A162="","",INDEX(Fonds!$D$1:$D$1000,125)&amp;"")</f>
      </c>
      <c r="D162" s="25">
        <f>IF($A162="","",INDEX(Fonds!$E$1:$E$1000,125))</f>
      </c>
      <c r="E162" s="25">
        <f>IF($A162="","",SUMIFS(Cashflows!$D$5:$D$5000,Cashflows!$B$5:$B$5000,$A162,Cashflows!$C$5:$C$5000,"Abruf"))</f>
      </c>
      <c r="F162" s="25">
        <f>IF($A162="","",SUMIFS(Cashflows!$D$5:$D$5000,Cashflows!$B$5:$B$5000,$A162,Cashflows!$C$5:$C$5000,"Gebühr außerhalb der Zusage")+SUMIFS(Cashflows!$D$5:$D$5000,Cashflows!$B$5:$B$5000,$A162,Cashflows!$C$5:$C$5000,"Ausgleichszins"))</f>
      </c>
      <c r="G162" s="25">
        <f>IF($A162="","",SUMIFS(Cashflows!$D$5:$D$5000,Cashflows!$B$5:$B$5000,$A162,Cashflows!$C$5:$C$5000,"Ausschüttung"))</f>
      </c>
      <c r="H162" s="25">
        <f>IF($A162="","",SUMIFS(Cashflows!$E$5:$E$5000,Cashflows!$B$5:$B$5000,$A162,Cashflows!$C$5:$C$5000,"Ausschüttung"))</f>
      </c>
      <c r="I162" s="26">
        <f>IF($A162="","",D162-E162+H162)</f>
      </c>
      <c r="J162" s="25">
        <f>IF($A162="","",SUMIFS(Cashflows!$D$5:$D$5000,Cashflows!$B$5:$B$5000,$A162,Cashflows!$G$5:$G$5000,"Angekündigt",Cashflows!$C$5:$C$5000,"&lt;&gt;Ausschüttung"))</f>
      </c>
      <c r="K162" s="27">
        <f>IF($A162="","",IF(COUNTIFS(Cashflows!$B$5:$B$5000,$A162,Cashflows!$G$5:$G$5000,"Angekündigt",Cashflows!$C$5:$C$5000,"&lt;&gt;Ausschüttung",Cashflows!$F$5:$F$5000,"&gt;0")=0,"",MINIFS(Cashflows!$F$5:$F$5000,Cashflows!$B$5:$B$5000,$A162,Cashflows!$G$5:$G$5000,"Angekündigt",Cashflows!$C$5:$C$5000,"&lt;&gt;Ausschüttung",Cashflows!$F$5:$F$5000,"&gt;0")))</f>
      </c>
      <c r="L162" s="25">
        <f>IF($A162="","",I162+J162)</f>
      </c>
    </row>
    <row r="163" spans="1:12" x14ac:dyDescent="0.25">
      <c r="A163" s="23">
        <f>IF(INDEX(Fonds!$A$1:$A$1000,126)="","",INDEX(Fonds!$A$1:$A$1000,126))</f>
      </c>
      <c r="B163" s="23">
        <f>IF($A163="","",INDEX(Fonds!$B$1:$B$1000,126)&amp;"")</f>
      </c>
      <c r="C163" s="23">
        <f>IF($A163="","",INDEX(Fonds!$D$1:$D$1000,126)&amp;"")</f>
      </c>
      <c r="D163" s="25">
        <f>IF($A163="","",INDEX(Fonds!$E$1:$E$1000,126))</f>
      </c>
      <c r="E163" s="25">
        <f>IF($A163="","",SUMIFS(Cashflows!$D$5:$D$5000,Cashflows!$B$5:$B$5000,$A163,Cashflows!$C$5:$C$5000,"Abruf"))</f>
      </c>
      <c r="F163" s="25">
        <f>IF($A163="","",SUMIFS(Cashflows!$D$5:$D$5000,Cashflows!$B$5:$B$5000,$A163,Cashflows!$C$5:$C$5000,"Gebühr außerhalb der Zusage")+SUMIFS(Cashflows!$D$5:$D$5000,Cashflows!$B$5:$B$5000,$A163,Cashflows!$C$5:$C$5000,"Ausgleichszins"))</f>
      </c>
      <c r="G163" s="25">
        <f>IF($A163="","",SUMIFS(Cashflows!$D$5:$D$5000,Cashflows!$B$5:$B$5000,$A163,Cashflows!$C$5:$C$5000,"Ausschüttung"))</f>
      </c>
      <c r="H163" s="25">
        <f>IF($A163="","",SUMIFS(Cashflows!$E$5:$E$5000,Cashflows!$B$5:$B$5000,$A163,Cashflows!$C$5:$C$5000,"Ausschüttung"))</f>
      </c>
      <c r="I163" s="26">
        <f>IF($A163="","",D163-E163+H163)</f>
      </c>
      <c r="J163" s="25">
        <f>IF($A163="","",SUMIFS(Cashflows!$D$5:$D$5000,Cashflows!$B$5:$B$5000,$A163,Cashflows!$G$5:$G$5000,"Angekündigt",Cashflows!$C$5:$C$5000,"&lt;&gt;Ausschüttung"))</f>
      </c>
      <c r="K163" s="27">
        <f>IF($A163="","",IF(COUNTIFS(Cashflows!$B$5:$B$5000,$A163,Cashflows!$G$5:$G$5000,"Angekündigt",Cashflows!$C$5:$C$5000,"&lt;&gt;Ausschüttung",Cashflows!$F$5:$F$5000,"&gt;0")=0,"",MINIFS(Cashflows!$F$5:$F$5000,Cashflows!$B$5:$B$5000,$A163,Cashflows!$G$5:$G$5000,"Angekündigt",Cashflows!$C$5:$C$5000,"&lt;&gt;Ausschüttung",Cashflows!$F$5:$F$5000,"&gt;0")))</f>
      </c>
      <c r="L163" s="25">
        <f>IF($A163="","",I163+J163)</f>
      </c>
    </row>
    <row r="164" spans="1:12" x14ac:dyDescent="0.25">
      <c r="A164" s="23">
        <f>IF(INDEX(Fonds!$A$1:$A$1000,127)="","",INDEX(Fonds!$A$1:$A$1000,127))</f>
      </c>
      <c r="B164" s="23">
        <f>IF($A164="","",INDEX(Fonds!$B$1:$B$1000,127)&amp;"")</f>
      </c>
      <c r="C164" s="23">
        <f>IF($A164="","",INDEX(Fonds!$D$1:$D$1000,127)&amp;"")</f>
      </c>
      <c r="D164" s="25">
        <f>IF($A164="","",INDEX(Fonds!$E$1:$E$1000,127))</f>
      </c>
      <c r="E164" s="25">
        <f>IF($A164="","",SUMIFS(Cashflows!$D$5:$D$5000,Cashflows!$B$5:$B$5000,$A164,Cashflows!$C$5:$C$5000,"Abruf"))</f>
      </c>
      <c r="F164" s="25">
        <f>IF($A164="","",SUMIFS(Cashflows!$D$5:$D$5000,Cashflows!$B$5:$B$5000,$A164,Cashflows!$C$5:$C$5000,"Gebühr außerhalb der Zusage")+SUMIFS(Cashflows!$D$5:$D$5000,Cashflows!$B$5:$B$5000,$A164,Cashflows!$C$5:$C$5000,"Ausgleichszins"))</f>
      </c>
      <c r="G164" s="25">
        <f>IF($A164="","",SUMIFS(Cashflows!$D$5:$D$5000,Cashflows!$B$5:$B$5000,$A164,Cashflows!$C$5:$C$5000,"Ausschüttung"))</f>
      </c>
      <c r="H164" s="25">
        <f>IF($A164="","",SUMIFS(Cashflows!$E$5:$E$5000,Cashflows!$B$5:$B$5000,$A164,Cashflows!$C$5:$C$5000,"Ausschüttung"))</f>
      </c>
      <c r="I164" s="26">
        <f>IF($A164="","",D164-E164+H164)</f>
      </c>
      <c r="J164" s="25">
        <f>IF($A164="","",SUMIFS(Cashflows!$D$5:$D$5000,Cashflows!$B$5:$B$5000,$A164,Cashflows!$G$5:$G$5000,"Angekündigt",Cashflows!$C$5:$C$5000,"&lt;&gt;Ausschüttung"))</f>
      </c>
      <c r="K164" s="27">
        <f>IF($A164="","",IF(COUNTIFS(Cashflows!$B$5:$B$5000,$A164,Cashflows!$G$5:$G$5000,"Angekündigt",Cashflows!$C$5:$C$5000,"&lt;&gt;Ausschüttung",Cashflows!$F$5:$F$5000,"&gt;0")=0,"",MINIFS(Cashflows!$F$5:$F$5000,Cashflows!$B$5:$B$5000,$A164,Cashflows!$G$5:$G$5000,"Angekündigt",Cashflows!$C$5:$C$5000,"&lt;&gt;Ausschüttung",Cashflows!$F$5:$F$5000,"&gt;0")))</f>
      </c>
      <c r="L164" s="25">
        <f>IF($A164="","",I164+J164)</f>
      </c>
    </row>
    <row r="165" spans="1:12" x14ac:dyDescent="0.25">
      <c r="A165" s="23">
        <f>IF(INDEX(Fonds!$A$1:$A$1000,128)="","",INDEX(Fonds!$A$1:$A$1000,128))</f>
      </c>
      <c r="B165" s="23">
        <f>IF($A165="","",INDEX(Fonds!$B$1:$B$1000,128)&amp;"")</f>
      </c>
      <c r="C165" s="23">
        <f>IF($A165="","",INDEX(Fonds!$D$1:$D$1000,128)&amp;"")</f>
      </c>
      <c r="D165" s="25">
        <f>IF($A165="","",INDEX(Fonds!$E$1:$E$1000,128))</f>
      </c>
      <c r="E165" s="25">
        <f>IF($A165="","",SUMIFS(Cashflows!$D$5:$D$5000,Cashflows!$B$5:$B$5000,$A165,Cashflows!$C$5:$C$5000,"Abruf"))</f>
      </c>
      <c r="F165" s="25">
        <f>IF($A165="","",SUMIFS(Cashflows!$D$5:$D$5000,Cashflows!$B$5:$B$5000,$A165,Cashflows!$C$5:$C$5000,"Gebühr außerhalb der Zusage")+SUMIFS(Cashflows!$D$5:$D$5000,Cashflows!$B$5:$B$5000,$A165,Cashflows!$C$5:$C$5000,"Ausgleichszins"))</f>
      </c>
      <c r="G165" s="25">
        <f>IF($A165="","",SUMIFS(Cashflows!$D$5:$D$5000,Cashflows!$B$5:$B$5000,$A165,Cashflows!$C$5:$C$5000,"Ausschüttung"))</f>
      </c>
      <c r="H165" s="25">
        <f>IF($A165="","",SUMIFS(Cashflows!$E$5:$E$5000,Cashflows!$B$5:$B$5000,$A165,Cashflows!$C$5:$C$5000,"Ausschüttung"))</f>
      </c>
      <c r="I165" s="26">
        <f>IF($A165="","",D165-E165+H165)</f>
      </c>
      <c r="J165" s="25">
        <f>IF($A165="","",SUMIFS(Cashflows!$D$5:$D$5000,Cashflows!$B$5:$B$5000,$A165,Cashflows!$G$5:$G$5000,"Angekündigt",Cashflows!$C$5:$C$5000,"&lt;&gt;Ausschüttung"))</f>
      </c>
      <c r="K165" s="27">
        <f>IF($A165="","",IF(COUNTIFS(Cashflows!$B$5:$B$5000,$A165,Cashflows!$G$5:$G$5000,"Angekündigt",Cashflows!$C$5:$C$5000,"&lt;&gt;Ausschüttung",Cashflows!$F$5:$F$5000,"&gt;0")=0,"",MINIFS(Cashflows!$F$5:$F$5000,Cashflows!$B$5:$B$5000,$A165,Cashflows!$G$5:$G$5000,"Angekündigt",Cashflows!$C$5:$C$5000,"&lt;&gt;Ausschüttung",Cashflows!$F$5:$F$5000,"&gt;0")))</f>
      </c>
      <c r="L165" s="25">
        <f>IF($A165="","",I165+J165)</f>
      </c>
    </row>
    <row r="166" spans="1:12" x14ac:dyDescent="0.25">
      <c r="A166" s="23">
        <f>IF(INDEX(Fonds!$A$1:$A$1000,129)="","",INDEX(Fonds!$A$1:$A$1000,129))</f>
      </c>
      <c r="B166" s="23">
        <f>IF($A166="","",INDEX(Fonds!$B$1:$B$1000,129)&amp;"")</f>
      </c>
      <c r="C166" s="23">
        <f>IF($A166="","",INDEX(Fonds!$D$1:$D$1000,129)&amp;"")</f>
      </c>
      <c r="D166" s="25">
        <f>IF($A166="","",INDEX(Fonds!$E$1:$E$1000,129))</f>
      </c>
      <c r="E166" s="25">
        <f>IF($A166="","",SUMIFS(Cashflows!$D$5:$D$5000,Cashflows!$B$5:$B$5000,$A166,Cashflows!$C$5:$C$5000,"Abruf"))</f>
      </c>
      <c r="F166" s="25">
        <f>IF($A166="","",SUMIFS(Cashflows!$D$5:$D$5000,Cashflows!$B$5:$B$5000,$A166,Cashflows!$C$5:$C$5000,"Gebühr außerhalb der Zusage")+SUMIFS(Cashflows!$D$5:$D$5000,Cashflows!$B$5:$B$5000,$A166,Cashflows!$C$5:$C$5000,"Ausgleichszins"))</f>
      </c>
      <c r="G166" s="25">
        <f>IF($A166="","",SUMIFS(Cashflows!$D$5:$D$5000,Cashflows!$B$5:$B$5000,$A166,Cashflows!$C$5:$C$5000,"Ausschüttung"))</f>
      </c>
      <c r="H166" s="25">
        <f>IF($A166="","",SUMIFS(Cashflows!$E$5:$E$5000,Cashflows!$B$5:$B$5000,$A166,Cashflows!$C$5:$C$5000,"Ausschüttung"))</f>
      </c>
      <c r="I166" s="26">
        <f>IF($A166="","",D166-E166+H166)</f>
      </c>
      <c r="J166" s="25">
        <f>IF($A166="","",SUMIFS(Cashflows!$D$5:$D$5000,Cashflows!$B$5:$B$5000,$A166,Cashflows!$G$5:$G$5000,"Angekündigt",Cashflows!$C$5:$C$5000,"&lt;&gt;Ausschüttung"))</f>
      </c>
      <c r="K166" s="27">
        <f>IF($A166="","",IF(COUNTIFS(Cashflows!$B$5:$B$5000,$A166,Cashflows!$G$5:$G$5000,"Angekündigt",Cashflows!$C$5:$C$5000,"&lt;&gt;Ausschüttung",Cashflows!$F$5:$F$5000,"&gt;0")=0,"",MINIFS(Cashflows!$F$5:$F$5000,Cashflows!$B$5:$B$5000,$A166,Cashflows!$G$5:$G$5000,"Angekündigt",Cashflows!$C$5:$C$5000,"&lt;&gt;Ausschüttung",Cashflows!$F$5:$F$5000,"&gt;0")))</f>
      </c>
      <c r="L166" s="25">
        <f>IF($A166="","",I166+J166)</f>
      </c>
    </row>
    <row r="167" spans="1:12" x14ac:dyDescent="0.25">
      <c r="A167" s="23">
        <f>IF(INDEX(Fonds!$A$1:$A$1000,130)="","",INDEX(Fonds!$A$1:$A$1000,130))</f>
      </c>
      <c r="B167" s="23">
        <f>IF($A167="","",INDEX(Fonds!$B$1:$B$1000,130)&amp;"")</f>
      </c>
      <c r="C167" s="23">
        <f>IF($A167="","",INDEX(Fonds!$D$1:$D$1000,130)&amp;"")</f>
      </c>
      <c r="D167" s="25">
        <f>IF($A167="","",INDEX(Fonds!$E$1:$E$1000,130))</f>
      </c>
      <c r="E167" s="25">
        <f>IF($A167="","",SUMIFS(Cashflows!$D$5:$D$5000,Cashflows!$B$5:$B$5000,$A167,Cashflows!$C$5:$C$5000,"Abruf"))</f>
      </c>
      <c r="F167" s="25">
        <f>IF($A167="","",SUMIFS(Cashflows!$D$5:$D$5000,Cashflows!$B$5:$B$5000,$A167,Cashflows!$C$5:$C$5000,"Gebühr außerhalb der Zusage")+SUMIFS(Cashflows!$D$5:$D$5000,Cashflows!$B$5:$B$5000,$A167,Cashflows!$C$5:$C$5000,"Ausgleichszins"))</f>
      </c>
      <c r="G167" s="25">
        <f>IF($A167="","",SUMIFS(Cashflows!$D$5:$D$5000,Cashflows!$B$5:$B$5000,$A167,Cashflows!$C$5:$C$5000,"Ausschüttung"))</f>
      </c>
      <c r="H167" s="25">
        <f>IF($A167="","",SUMIFS(Cashflows!$E$5:$E$5000,Cashflows!$B$5:$B$5000,$A167,Cashflows!$C$5:$C$5000,"Ausschüttung"))</f>
      </c>
      <c r="I167" s="26">
        <f>IF($A167="","",D167-E167+H167)</f>
      </c>
      <c r="J167" s="25">
        <f>IF($A167="","",SUMIFS(Cashflows!$D$5:$D$5000,Cashflows!$B$5:$B$5000,$A167,Cashflows!$G$5:$G$5000,"Angekündigt",Cashflows!$C$5:$C$5000,"&lt;&gt;Ausschüttung"))</f>
      </c>
      <c r="K167" s="27">
        <f>IF($A167="","",IF(COUNTIFS(Cashflows!$B$5:$B$5000,$A167,Cashflows!$G$5:$G$5000,"Angekündigt",Cashflows!$C$5:$C$5000,"&lt;&gt;Ausschüttung",Cashflows!$F$5:$F$5000,"&gt;0")=0,"",MINIFS(Cashflows!$F$5:$F$5000,Cashflows!$B$5:$B$5000,$A167,Cashflows!$G$5:$G$5000,"Angekündigt",Cashflows!$C$5:$C$5000,"&lt;&gt;Ausschüttung",Cashflows!$F$5:$F$5000,"&gt;0")))</f>
      </c>
      <c r="L167" s="25">
        <f>IF($A167="","",I167+J167)</f>
      </c>
    </row>
    <row r="168" spans="1:12" x14ac:dyDescent="0.25">
      <c r="A168" s="23">
        <f>IF(INDEX(Fonds!$A$1:$A$1000,131)="","",INDEX(Fonds!$A$1:$A$1000,131))</f>
      </c>
      <c r="B168" s="23">
        <f>IF($A168="","",INDEX(Fonds!$B$1:$B$1000,131)&amp;"")</f>
      </c>
      <c r="C168" s="23">
        <f>IF($A168="","",INDEX(Fonds!$D$1:$D$1000,131)&amp;"")</f>
      </c>
      <c r="D168" s="25">
        <f>IF($A168="","",INDEX(Fonds!$E$1:$E$1000,131))</f>
      </c>
      <c r="E168" s="25">
        <f>IF($A168="","",SUMIFS(Cashflows!$D$5:$D$5000,Cashflows!$B$5:$B$5000,$A168,Cashflows!$C$5:$C$5000,"Abruf"))</f>
      </c>
      <c r="F168" s="25">
        <f>IF($A168="","",SUMIFS(Cashflows!$D$5:$D$5000,Cashflows!$B$5:$B$5000,$A168,Cashflows!$C$5:$C$5000,"Gebühr außerhalb der Zusage")+SUMIFS(Cashflows!$D$5:$D$5000,Cashflows!$B$5:$B$5000,$A168,Cashflows!$C$5:$C$5000,"Ausgleichszins"))</f>
      </c>
      <c r="G168" s="25">
        <f>IF($A168="","",SUMIFS(Cashflows!$D$5:$D$5000,Cashflows!$B$5:$B$5000,$A168,Cashflows!$C$5:$C$5000,"Ausschüttung"))</f>
      </c>
      <c r="H168" s="25">
        <f>IF($A168="","",SUMIFS(Cashflows!$E$5:$E$5000,Cashflows!$B$5:$B$5000,$A168,Cashflows!$C$5:$C$5000,"Ausschüttung"))</f>
      </c>
      <c r="I168" s="26">
        <f>IF($A168="","",D168-E168+H168)</f>
      </c>
      <c r="J168" s="25">
        <f>IF($A168="","",SUMIFS(Cashflows!$D$5:$D$5000,Cashflows!$B$5:$B$5000,$A168,Cashflows!$G$5:$G$5000,"Angekündigt",Cashflows!$C$5:$C$5000,"&lt;&gt;Ausschüttung"))</f>
      </c>
      <c r="K168" s="27">
        <f>IF($A168="","",IF(COUNTIFS(Cashflows!$B$5:$B$5000,$A168,Cashflows!$G$5:$G$5000,"Angekündigt",Cashflows!$C$5:$C$5000,"&lt;&gt;Ausschüttung",Cashflows!$F$5:$F$5000,"&gt;0")=0,"",MINIFS(Cashflows!$F$5:$F$5000,Cashflows!$B$5:$B$5000,$A168,Cashflows!$G$5:$G$5000,"Angekündigt",Cashflows!$C$5:$C$5000,"&lt;&gt;Ausschüttung",Cashflows!$F$5:$F$5000,"&gt;0")))</f>
      </c>
      <c r="L168" s="25">
        <f>IF($A168="","",I168+J168)</f>
      </c>
    </row>
    <row r="169" spans="1:12" x14ac:dyDescent="0.25">
      <c r="A169" s="23">
        <f>IF(INDEX(Fonds!$A$1:$A$1000,132)="","",INDEX(Fonds!$A$1:$A$1000,132))</f>
      </c>
      <c r="B169" s="23">
        <f>IF($A169="","",INDEX(Fonds!$B$1:$B$1000,132)&amp;"")</f>
      </c>
      <c r="C169" s="23">
        <f>IF($A169="","",INDEX(Fonds!$D$1:$D$1000,132)&amp;"")</f>
      </c>
      <c r="D169" s="25">
        <f>IF($A169="","",INDEX(Fonds!$E$1:$E$1000,132))</f>
      </c>
      <c r="E169" s="25">
        <f>IF($A169="","",SUMIFS(Cashflows!$D$5:$D$5000,Cashflows!$B$5:$B$5000,$A169,Cashflows!$C$5:$C$5000,"Abruf"))</f>
      </c>
      <c r="F169" s="25">
        <f>IF($A169="","",SUMIFS(Cashflows!$D$5:$D$5000,Cashflows!$B$5:$B$5000,$A169,Cashflows!$C$5:$C$5000,"Gebühr außerhalb der Zusage")+SUMIFS(Cashflows!$D$5:$D$5000,Cashflows!$B$5:$B$5000,$A169,Cashflows!$C$5:$C$5000,"Ausgleichszins"))</f>
      </c>
      <c r="G169" s="25">
        <f>IF($A169="","",SUMIFS(Cashflows!$D$5:$D$5000,Cashflows!$B$5:$B$5000,$A169,Cashflows!$C$5:$C$5000,"Ausschüttung"))</f>
      </c>
      <c r="H169" s="25">
        <f>IF($A169="","",SUMIFS(Cashflows!$E$5:$E$5000,Cashflows!$B$5:$B$5000,$A169,Cashflows!$C$5:$C$5000,"Ausschüttung"))</f>
      </c>
      <c r="I169" s="26">
        <f>IF($A169="","",D169-E169+H169)</f>
      </c>
      <c r="J169" s="25">
        <f>IF($A169="","",SUMIFS(Cashflows!$D$5:$D$5000,Cashflows!$B$5:$B$5000,$A169,Cashflows!$G$5:$G$5000,"Angekündigt",Cashflows!$C$5:$C$5000,"&lt;&gt;Ausschüttung"))</f>
      </c>
      <c r="K169" s="27">
        <f>IF($A169="","",IF(COUNTIFS(Cashflows!$B$5:$B$5000,$A169,Cashflows!$G$5:$G$5000,"Angekündigt",Cashflows!$C$5:$C$5000,"&lt;&gt;Ausschüttung",Cashflows!$F$5:$F$5000,"&gt;0")=0,"",MINIFS(Cashflows!$F$5:$F$5000,Cashflows!$B$5:$B$5000,$A169,Cashflows!$G$5:$G$5000,"Angekündigt",Cashflows!$C$5:$C$5000,"&lt;&gt;Ausschüttung",Cashflows!$F$5:$F$5000,"&gt;0")))</f>
      </c>
      <c r="L169" s="25">
        <f>IF($A169="","",I169+J169)</f>
      </c>
    </row>
    <row r="170" spans="1:12" x14ac:dyDescent="0.25">
      <c r="A170" s="23">
        <f>IF(INDEX(Fonds!$A$1:$A$1000,133)="","",INDEX(Fonds!$A$1:$A$1000,133))</f>
      </c>
      <c r="B170" s="23">
        <f>IF($A170="","",INDEX(Fonds!$B$1:$B$1000,133)&amp;"")</f>
      </c>
      <c r="C170" s="23">
        <f>IF($A170="","",INDEX(Fonds!$D$1:$D$1000,133)&amp;"")</f>
      </c>
      <c r="D170" s="25">
        <f>IF($A170="","",INDEX(Fonds!$E$1:$E$1000,133))</f>
      </c>
      <c r="E170" s="25">
        <f>IF($A170="","",SUMIFS(Cashflows!$D$5:$D$5000,Cashflows!$B$5:$B$5000,$A170,Cashflows!$C$5:$C$5000,"Abruf"))</f>
      </c>
      <c r="F170" s="25">
        <f>IF($A170="","",SUMIFS(Cashflows!$D$5:$D$5000,Cashflows!$B$5:$B$5000,$A170,Cashflows!$C$5:$C$5000,"Gebühr außerhalb der Zusage")+SUMIFS(Cashflows!$D$5:$D$5000,Cashflows!$B$5:$B$5000,$A170,Cashflows!$C$5:$C$5000,"Ausgleichszins"))</f>
      </c>
      <c r="G170" s="25">
        <f>IF($A170="","",SUMIFS(Cashflows!$D$5:$D$5000,Cashflows!$B$5:$B$5000,$A170,Cashflows!$C$5:$C$5000,"Ausschüttung"))</f>
      </c>
      <c r="H170" s="25">
        <f>IF($A170="","",SUMIFS(Cashflows!$E$5:$E$5000,Cashflows!$B$5:$B$5000,$A170,Cashflows!$C$5:$C$5000,"Ausschüttung"))</f>
      </c>
      <c r="I170" s="26">
        <f>IF($A170="","",D170-E170+H170)</f>
      </c>
      <c r="J170" s="25">
        <f>IF($A170="","",SUMIFS(Cashflows!$D$5:$D$5000,Cashflows!$B$5:$B$5000,$A170,Cashflows!$G$5:$G$5000,"Angekündigt",Cashflows!$C$5:$C$5000,"&lt;&gt;Ausschüttung"))</f>
      </c>
      <c r="K170" s="27">
        <f>IF($A170="","",IF(COUNTIFS(Cashflows!$B$5:$B$5000,$A170,Cashflows!$G$5:$G$5000,"Angekündigt",Cashflows!$C$5:$C$5000,"&lt;&gt;Ausschüttung",Cashflows!$F$5:$F$5000,"&gt;0")=0,"",MINIFS(Cashflows!$F$5:$F$5000,Cashflows!$B$5:$B$5000,$A170,Cashflows!$G$5:$G$5000,"Angekündigt",Cashflows!$C$5:$C$5000,"&lt;&gt;Ausschüttung",Cashflows!$F$5:$F$5000,"&gt;0")))</f>
      </c>
      <c r="L170" s="25">
        <f>IF($A170="","",I170+J170)</f>
      </c>
    </row>
    <row r="171" spans="1:12" x14ac:dyDescent="0.25">
      <c r="A171" s="23">
        <f>IF(INDEX(Fonds!$A$1:$A$1000,134)="","",INDEX(Fonds!$A$1:$A$1000,134))</f>
      </c>
      <c r="B171" s="23">
        <f>IF($A171="","",INDEX(Fonds!$B$1:$B$1000,134)&amp;"")</f>
      </c>
      <c r="C171" s="23">
        <f>IF($A171="","",INDEX(Fonds!$D$1:$D$1000,134)&amp;"")</f>
      </c>
      <c r="D171" s="25">
        <f>IF($A171="","",INDEX(Fonds!$E$1:$E$1000,134))</f>
      </c>
      <c r="E171" s="25">
        <f>IF($A171="","",SUMIFS(Cashflows!$D$5:$D$5000,Cashflows!$B$5:$B$5000,$A171,Cashflows!$C$5:$C$5000,"Abruf"))</f>
      </c>
      <c r="F171" s="25">
        <f>IF($A171="","",SUMIFS(Cashflows!$D$5:$D$5000,Cashflows!$B$5:$B$5000,$A171,Cashflows!$C$5:$C$5000,"Gebühr außerhalb der Zusage")+SUMIFS(Cashflows!$D$5:$D$5000,Cashflows!$B$5:$B$5000,$A171,Cashflows!$C$5:$C$5000,"Ausgleichszins"))</f>
      </c>
      <c r="G171" s="25">
        <f>IF($A171="","",SUMIFS(Cashflows!$D$5:$D$5000,Cashflows!$B$5:$B$5000,$A171,Cashflows!$C$5:$C$5000,"Ausschüttung"))</f>
      </c>
      <c r="H171" s="25">
        <f>IF($A171="","",SUMIFS(Cashflows!$E$5:$E$5000,Cashflows!$B$5:$B$5000,$A171,Cashflows!$C$5:$C$5000,"Ausschüttung"))</f>
      </c>
      <c r="I171" s="26">
        <f>IF($A171="","",D171-E171+H171)</f>
      </c>
      <c r="J171" s="25">
        <f>IF($A171="","",SUMIFS(Cashflows!$D$5:$D$5000,Cashflows!$B$5:$B$5000,$A171,Cashflows!$G$5:$G$5000,"Angekündigt",Cashflows!$C$5:$C$5000,"&lt;&gt;Ausschüttung"))</f>
      </c>
      <c r="K171" s="27">
        <f>IF($A171="","",IF(COUNTIFS(Cashflows!$B$5:$B$5000,$A171,Cashflows!$G$5:$G$5000,"Angekündigt",Cashflows!$C$5:$C$5000,"&lt;&gt;Ausschüttung",Cashflows!$F$5:$F$5000,"&gt;0")=0,"",MINIFS(Cashflows!$F$5:$F$5000,Cashflows!$B$5:$B$5000,$A171,Cashflows!$G$5:$G$5000,"Angekündigt",Cashflows!$C$5:$C$5000,"&lt;&gt;Ausschüttung",Cashflows!$F$5:$F$5000,"&gt;0")))</f>
      </c>
      <c r="L171" s="25">
        <f>IF($A171="","",I171+J171)</f>
      </c>
    </row>
    <row r="172" spans="1:12" x14ac:dyDescent="0.25">
      <c r="A172" s="23">
        <f>IF(INDEX(Fonds!$A$1:$A$1000,135)="","",INDEX(Fonds!$A$1:$A$1000,135))</f>
      </c>
      <c r="B172" s="23">
        <f>IF($A172="","",INDEX(Fonds!$B$1:$B$1000,135)&amp;"")</f>
      </c>
      <c r="C172" s="23">
        <f>IF($A172="","",INDEX(Fonds!$D$1:$D$1000,135)&amp;"")</f>
      </c>
      <c r="D172" s="25">
        <f>IF($A172="","",INDEX(Fonds!$E$1:$E$1000,135))</f>
      </c>
      <c r="E172" s="25">
        <f>IF($A172="","",SUMIFS(Cashflows!$D$5:$D$5000,Cashflows!$B$5:$B$5000,$A172,Cashflows!$C$5:$C$5000,"Abruf"))</f>
      </c>
      <c r="F172" s="25">
        <f>IF($A172="","",SUMIFS(Cashflows!$D$5:$D$5000,Cashflows!$B$5:$B$5000,$A172,Cashflows!$C$5:$C$5000,"Gebühr außerhalb der Zusage")+SUMIFS(Cashflows!$D$5:$D$5000,Cashflows!$B$5:$B$5000,$A172,Cashflows!$C$5:$C$5000,"Ausgleichszins"))</f>
      </c>
      <c r="G172" s="25">
        <f>IF($A172="","",SUMIFS(Cashflows!$D$5:$D$5000,Cashflows!$B$5:$B$5000,$A172,Cashflows!$C$5:$C$5000,"Ausschüttung"))</f>
      </c>
      <c r="H172" s="25">
        <f>IF($A172="","",SUMIFS(Cashflows!$E$5:$E$5000,Cashflows!$B$5:$B$5000,$A172,Cashflows!$C$5:$C$5000,"Ausschüttung"))</f>
      </c>
      <c r="I172" s="26">
        <f>IF($A172="","",D172-E172+H172)</f>
      </c>
      <c r="J172" s="25">
        <f>IF($A172="","",SUMIFS(Cashflows!$D$5:$D$5000,Cashflows!$B$5:$B$5000,$A172,Cashflows!$G$5:$G$5000,"Angekündigt",Cashflows!$C$5:$C$5000,"&lt;&gt;Ausschüttung"))</f>
      </c>
      <c r="K172" s="27">
        <f>IF($A172="","",IF(COUNTIFS(Cashflows!$B$5:$B$5000,$A172,Cashflows!$G$5:$G$5000,"Angekündigt",Cashflows!$C$5:$C$5000,"&lt;&gt;Ausschüttung",Cashflows!$F$5:$F$5000,"&gt;0")=0,"",MINIFS(Cashflows!$F$5:$F$5000,Cashflows!$B$5:$B$5000,$A172,Cashflows!$G$5:$G$5000,"Angekündigt",Cashflows!$C$5:$C$5000,"&lt;&gt;Ausschüttung",Cashflows!$F$5:$F$5000,"&gt;0")))</f>
      </c>
      <c r="L172" s="25">
        <f>IF($A172="","",I172+J172)</f>
      </c>
    </row>
    <row r="173" spans="1:12" x14ac:dyDescent="0.25">
      <c r="A173" s="23">
        <f>IF(INDEX(Fonds!$A$1:$A$1000,136)="","",INDEX(Fonds!$A$1:$A$1000,136))</f>
      </c>
      <c r="B173" s="23">
        <f>IF($A173="","",INDEX(Fonds!$B$1:$B$1000,136)&amp;"")</f>
      </c>
      <c r="C173" s="23">
        <f>IF($A173="","",INDEX(Fonds!$D$1:$D$1000,136)&amp;"")</f>
      </c>
      <c r="D173" s="25">
        <f>IF($A173="","",INDEX(Fonds!$E$1:$E$1000,136))</f>
      </c>
      <c r="E173" s="25">
        <f>IF($A173="","",SUMIFS(Cashflows!$D$5:$D$5000,Cashflows!$B$5:$B$5000,$A173,Cashflows!$C$5:$C$5000,"Abruf"))</f>
      </c>
      <c r="F173" s="25">
        <f>IF($A173="","",SUMIFS(Cashflows!$D$5:$D$5000,Cashflows!$B$5:$B$5000,$A173,Cashflows!$C$5:$C$5000,"Gebühr außerhalb der Zusage")+SUMIFS(Cashflows!$D$5:$D$5000,Cashflows!$B$5:$B$5000,$A173,Cashflows!$C$5:$C$5000,"Ausgleichszins"))</f>
      </c>
      <c r="G173" s="25">
        <f>IF($A173="","",SUMIFS(Cashflows!$D$5:$D$5000,Cashflows!$B$5:$B$5000,$A173,Cashflows!$C$5:$C$5000,"Ausschüttung"))</f>
      </c>
      <c r="H173" s="25">
        <f>IF($A173="","",SUMIFS(Cashflows!$E$5:$E$5000,Cashflows!$B$5:$B$5000,$A173,Cashflows!$C$5:$C$5000,"Ausschüttung"))</f>
      </c>
      <c r="I173" s="26">
        <f>IF($A173="","",D173-E173+H173)</f>
      </c>
      <c r="J173" s="25">
        <f>IF($A173="","",SUMIFS(Cashflows!$D$5:$D$5000,Cashflows!$B$5:$B$5000,$A173,Cashflows!$G$5:$G$5000,"Angekündigt",Cashflows!$C$5:$C$5000,"&lt;&gt;Ausschüttung"))</f>
      </c>
      <c r="K173" s="27">
        <f>IF($A173="","",IF(COUNTIFS(Cashflows!$B$5:$B$5000,$A173,Cashflows!$G$5:$G$5000,"Angekündigt",Cashflows!$C$5:$C$5000,"&lt;&gt;Ausschüttung",Cashflows!$F$5:$F$5000,"&gt;0")=0,"",MINIFS(Cashflows!$F$5:$F$5000,Cashflows!$B$5:$B$5000,$A173,Cashflows!$G$5:$G$5000,"Angekündigt",Cashflows!$C$5:$C$5000,"&lt;&gt;Ausschüttung",Cashflows!$F$5:$F$5000,"&gt;0")))</f>
      </c>
      <c r="L173" s="25">
        <f>IF($A173="","",I173+J173)</f>
      </c>
    </row>
    <row r="174" spans="1:12" x14ac:dyDescent="0.25">
      <c r="A174" s="23">
        <f>IF(INDEX(Fonds!$A$1:$A$1000,137)="","",INDEX(Fonds!$A$1:$A$1000,137))</f>
      </c>
      <c r="B174" s="23">
        <f>IF($A174="","",INDEX(Fonds!$B$1:$B$1000,137)&amp;"")</f>
      </c>
      <c r="C174" s="23">
        <f>IF($A174="","",INDEX(Fonds!$D$1:$D$1000,137)&amp;"")</f>
      </c>
      <c r="D174" s="25">
        <f>IF($A174="","",INDEX(Fonds!$E$1:$E$1000,137))</f>
      </c>
      <c r="E174" s="25">
        <f>IF($A174="","",SUMIFS(Cashflows!$D$5:$D$5000,Cashflows!$B$5:$B$5000,$A174,Cashflows!$C$5:$C$5000,"Abruf"))</f>
      </c>
      <c r="F174" s="25">
        <f>IF($A174="","",SUMIFS(Cashflows!$D$5:$D$5000,Cashflows!$B$5:$B$5000,$A174,Cashflows!$C$5:$C$5000,"Gebühr außerhalb der Zusage")+SUMIFS(Cashflows!$D$5:$D$5000,Cashflows!$B$5:$B$5000,$A174,Cashflows!$C$5:$C$5000,"Ausgleichszins"))</f>
      </c>
      <c r="G174" s="25">
        <f>IF($A174="","",SUMIFS(Cashflows!$D$5:$D$5000,Cashflows!$B$5:$B$5000,$A174,Cashflows!$C$5:$C$5000,"Ausschüttung"))</f>
      </c>
      <c r="H174" s="25">
        <f>IF($A174="","",SUMIFS(Cashflows!$E$5:$E$5000,Cashflows!$B$5:$B$5000,$A174,Cashflows!$C$5:$C$5000,"Ausschüttung"))</f>
      </c>
      <c r="I174" s="26">
        <f>IF($A174="","",D174-E174+H174)</f>
      </c>
      <c r="J174" s="25">
        <f>IF($A174="","",SUMIFS(Cashflows!$D$5:$D$5000,Cashflows!$B$5:$B$5000,$A174,Cashflows!$G$5:$G$5000,"Angekündigt",Cashflows!$C$5:$C$5000,"&lt;&gt;Ausschüttung"))</f>
      </c>
      <c r="K174" s="27">
        <f>IF($A174="","",IF(COUNTIFS(Cashflows!$B$5:$B$5000,$A174,Cashflows!$G$5:$G$5000,"Angekündigt",Cashflows!$C$5:$C$5000,"&lt;&gt;Ausschüttung",Cashflows!$F$5:$F$5000,"&gt;0")=0,"",MINIFS(Cashflows!$F$5:$F$5000,Cashflows!$B$5:$B$5000,$A174,Cashflows!$G$5:$G$5000,"Angekündigt",Cashflows!$C$5:$C$5000,"&lt;&gt;Ausschüttung",Cashflows!$F$5:$F$5000,"&gt;0")))</f>
      </c>
      <c r="L174" s="25">
        <f>IF($A174="","",I174+J174)</f>
      </c>
    </row>
    <row r="175" spans="1:12" x14ac:dyDescent="0.25">
      <c r="A175" s="23">
        <f>IF(INDEX(Fonds!$A$1:$A$1000,138)="","",INDEX(Fonds!$A$1:$A$1000,138))</f>
      </c>
      <c r="B175" s="23">
        <f>IF($A175="","",INDEX(Fonds!$B$1:$B$1000,138)&amp;"")</f>
      </c>
      <c r="C175" s="23">
        <f>IF($A175="","",INDEX(Fonds!$D$1:$D$1000,138)&amp;"")</f>
      </c>
      <c r="D175" s="25">
        <f>IF($A175="","",INDEX(Fonds!$E$1:$E$1000,138))</f>
      </c>
      <c r="E175" s="25">
        <f>IF($A175="","",SUMIFS(Cashflows!$D$5:$D$5000,Cashflows!$B$5:$B$5000,$A175,Cashflows!$C$5:$C$5000,"Abruf"))</f>
      </c>
      <c r="F175" s="25">
        <f>IF($A175="","",SUMIFS(Cashflows!$D$5:$D$5000,Cashflows!$B$5:$B$5000,$A175,Cashflows!$C$5:$C$5000,"Gebühr außerhalb der Zusage")+SUMIFS(Cashflows!$D$5:$D$5000,Cashflows!$B$5:$B$5000,$A175,Cashflows!$C$5:$C$5000,"Ausgleichszins"))</f>
      </c>
      <c r="G175" s="25">
        <f>IF($A175="","",SUMIFS(Cashflows!$D$5:$D$5000,Cashflows!$B$5:$B$5000,$A175,Cashflows!$C$5:$C$5000,"Ausschüttung"))</f>
      </c>
      <c r="H175" s="25">
        <f>IF($A175="","",SUMIFS(Cashflows!$E$5:$E$5000,Cashflows!$B$5:$B$5000,$A175,Cashflows!$C$5:$C$5000,"Ausschüttung"))</f>
      </c>
      <c r="I175" s="26">
        <f>IF($A175="","",D175-E175+H175)</f>
      </c>
      <c r="J175" s="25">
        <f>IF($A175="","",SUMIFS(Cashflows!$D$5:$D$5000,Cashflows!$B$5:$B$5000,$A175,Cashflows!$G$5:$G$5000,"Angekündigt",Cashflows!$C$5:$C$5000,"&lt;&gt;Ausschüttung"))</f>
      </c>
      <c r="K175" s="27">
        <f>IF($A175="","",IF(COUNTIFS(Cashflows!$B$5:$B$5000,$A175,Cashflows!$G$5:$G$5000,"Angekündigt",Cashflows!$C$5:$C$5000,"&lt;&gt;Ausschüttung",Cashflows!$F$5:$F$5000,"&gt;0")=0,"",MINIFS(Cashflows!$F$5:$F$5000,Cashflows!$B$5:$B$5000,$A175,Cashflows!$G$5:$G$5000,"Angekündigt",Cashflows!$C$5:$C$5000,"&lt;&gt;Ausschüttung",Cashflows!$F$5:$F$5000,"&gt;0")))</f>
      </c>
      <c r="L175" s="25">
        <f>IF($A175="","",I175+J175)</f>
      </c>
    </row>
    <row r="176" spans="1:12" x14ac:dyDescent="0.25">
      <c r="A176" s="23">
        <f>IF(INDEX(Fonds!$A$1:$A$1000,139)="","",INDEX(Fonds!$A$1:$A$1000,139))</f>
      </c>
      <c r="B176" s="23">
        <f>IF($A176="","",INDEX(Fonds!$B$1:$B$1000,139)&amp;"")</f>
      </c>
      <c r="C176" s="23">
        <f>IF($A176="","",INDEX(Fonds!$D$1:$D$1000,139)&amp;"")</f>
      </c>
      <c r="D176" s="25">
        <f>IF($A176="","",INDEX(Fonds!$E$1:$E$1000,139))</f>
      </c>
      <c r="E176" s="25">
        <f>IF($A176="","",SUMIFS(Cashflows!$D$5:$D$5000,Cashflows!$B$5:$B$5000,$A176,Cashflows!$C$5:$C$5000,"Abruf"))</f>
      </c>
      <c r="F176" s="25">
        <f>IF($A176="","",SUMIFS(Cashflows!$D$5:$D$5000,Cashflows!$B$5:$B$5000,$A176,Cashflows!$C$5:$C$5000,"Gebühr außerhalb der Zusage")+SUMIFS(Cashflows!$D$5:$D$5000,Cashflows!$B$5:$B$5000,$A176,Cashflows!$C$5:$C$5000,"Ausgleichszins"))</f>
      </c>
      <c r="G176" s="25">
        <f>IF($A176="","",SUMIFS(Cashflows!$D$5:$D$5000,Cashflows!$B$5:$B$5000,$A176,Cashflows!$C$5:$C$5000,"Ausschüttung"))</f>
      </c>
      <c r="H176" s="25">
        <f>IF($A176="","",SUMIFS(Cashflows!$E$5:$E$5000,Cashflows!$B$5:$B$5000,$A176,Cashflows!$C$5:$C$5000,"Ausschüttung"))</f>
      </c>
      <c r="I176" s="26">
        <f>IF($A176="","",D176-E176+H176)</f>
      </c>
      <c r="J176" s="25">
        <f>IF($A176="","",SUMIFS(Cashflows!$D$5:$D$5000,Cashflows!$B$5:$B$5000,$A176,Cashflows!$G$5:$G$5000,"Angekündigt",Cashflows!$C$5:$C$5000,"&lt;&gt;Ausschüttung"))</f>
      </c>
      <c r="K176" s="27">
        <f>IF($A176="","",IF(COUNTIFS(Cashflows!$B$5:$B$5000,$A176,Cashflows!$G$5:$G$5000,"Angekündigt",Cashflows!$C$5:$C$5000,"&lt;&gt;Ausschüttung",Cashflows!$F$5:$F$5000,"&gt;0")=0,"",MINIFS(Cashflows!$F$5:$F$5000,Cashflows!$B$5:$B$5000,$A176,Cashflows!$G$5:$G$5000,"Angekündigt",Cashflows!$C$5:$C$5000,"&lt;&gt;Ausschüttung",Cashflows!$F$5:$F$5000,"&gt;0")))</f>
      </c>
      <c r="L176" s="25">
        <f>IF($A176="","",I176+J176)</f>
      </c>
    </row>
    <row r="177" spans="1:12" x14ac:dyDescent="0.25">
      <c r="A177" s="23">
        <f>IF(INDEX(Fonds!$A$1:$A$1000,140)="","",INDEX(Fonds!$A$1:$A$1000,140))</f>
      </c>
      <c r="B177" s="23">
        <f>IF($A177="","",INDEX(Fonds!$B$1:$B$1000,140)&amp;"")</f>
      </c>
      <c r="C177" s="23">
        <f>IF($A177="","",INDEX(Fonds!$D$1:$D$1000,140)&amp;"")</f>
      </c>
      <c r="D177" s="25">
        <f>IF($A177="","",INDEX(Fonds!$E$1:$E$1000,140))</f>
      </c>
      <c r="E177" s="25">
        <f>IF($A177="","",SUMIFS(Cashflows!$D$5:$D$5000,Cashflows!$B$5:$B$5000,$A177,Cashflows!$C$5:$C$5000,"Abruf"))</f>
      </c>
      <c r="F177" s="25">
        <f>IF($A177="","",SUMIFS(Cashflows!$D$5:$D$5000,Cashflows!$B$5:$B$5000,$A177,Cashflows!$C$5:$C$5000,"Gebühr außerhalb der Zusage")+SUMIFS(Cashflows!$D$5:$D$5000,Cashflows!$B$5:$B$5000,$A177,Cashflows!$C$5:$C$5000,"Ausgleichszins"))</f>
      </c>
      <c r="G177" s="25">
        <f>IF($A177="","",SUMIFS(Cashflows!$D$5:$D$5000,Cashflows!$B$5:$B$5000,$A177,Cashflows!$C$5:$C$5000,"Ausschüttung"))</f>
      </c>
      <c r="H177" s="25">
        <f>IF($A177="","",SUMIFS(Cashflows!$E$5:$E$5000,Cashflows!$B$5:$B$5000,$A177,Cashflows!$C$5:$C$5000,"Ausschüttung"))</f>
      </c>
      <c r="I177" s="26">
        <f>IF($A177="","",D177-E177+H177)</f>
      </c>
      <c r="J177" s="25">
        <f>IF($A177="","",SUMIFS(Cashflows!$D$5:$D$5000,Cashflows!$B$5:$B$5000,$A177,Cashflows!$G$5:$G$5000,"Angekündigt",Cashflows!$C$5:$C$5000,"&lt;&gt;Ausschüttung"))</f>
      </c>
      <c r="K177" s="27">
        <f>IF($A177="","",IF(COUNTIFS(Cashflows!$B$5:$B$5000,$A177,Cashflows!$G$5:$G$5000,"Angekündigt",Cashflows!$C$5:$C$5000,"&lt;&gt;Ausschüttung",Cashflows!$F$5:$F$5000,"&gt;0")=0,"",MINIFS(Cashflows!$F$5:$F$5000,Cashflows!$B$5:$B$5000,$A177,Cashflows!$G$5:$G$5000,"Angekündigt",Cashflows!$C$5:$C$5000,"&lt;&gt;Ausschüttung",Cashflows!$F$5:$F$5000,"&gt;0")))</f>
      </c>
      <c r="L177" s="25">
        <f>IF($A177="","",I177+J177)</f>
      </c>
    </row>
    <row r="178" spans="1:12" x14ac:dyDescent="0.25">
      <c r="A178" s="23">
        <f>IF(INDEX(Fonds!$A$1:$A$1000,141)="","",INDEX(Fonds!$A$1:$A$1000,141))</f>
      </c>
      <c r="B178" s="23">
        <f>IF($A178="","",INDEX(Fonds!$B$1:$B$1000,141)&amp;"")</f>
      </c>
      <c r="C178" s="23">
        <f>IF($A178="","",INDEX(Fonds!$D$1:$D$1000,141)&amp;"")</f>
      </c>
      <c r="D178" s="25">
        <f>IF($A178="","",INDEX(Fonds!$E$1:$E$1000,141))</f>
      </c>
      <c r="E178" s="25">
        <f>IF($A178="","",SUMIFS(Cashflows!$D$5:$D$5000,Cashflows!$B$5:$B$5000,$A178,Cashflows!$C$5:$C$5000,"Abruf"))</f>
      </c>
      <c r="F178" s="25">
        <f>IF($A178="","",SUMIFS(Cashflows!$D$5:$D$5000,Cashflows!$B$5:$B$5000,$A178,Cashflows!$C$5:$C$5000,"Gebühr außerhalb der Zusage")+SUMIFS(Cashflows!$D$5:$D$5000,Cashflows!$B$5:$B$5000,$A178,Cashflows!$C$5:$C$5000,"Ausgleichszins"))</f>
      </c>
      <c r="G178" s="25">
        <f>IF($A178="","",SUMIFS(Cashflows!$D$5:$D$5000,Cashflows!$B$5:$B$5000,$A178,Cashflows!$C$5:$C$5000,"Ausschüttung"))</f>
      </c>
      <c r="H178" s="25">
        <f>IF($A178="","",SUMIFS(Cashflows!$E$5:$E$5000,Cashflows!$B$5:$B$5000,$A178,Cashflows!$C$5:$C$5000,"Ausschüttung"))</f>
      </c>
      <c r="I178" s="26">
        <f>IF($A178="","",D178-E178+H178)</f>
      </c>
      <c r="J178" s="25">
        <f>IF($A178="","",SUMIFS(Cashflows!$D$5:$D$5000,Cashflows!$B$5:$B$5000,$A178,Cashflows!$G$5:$G$5000,"Angekündigt",Cashflows!$C$5:$C$5000,"&lt;&gt;Ausschüttung"))</f>
      </c>
      <c r="K178" s="27">
        <f>IF($A178="","",IF(COUNTIFS(Cashflows!$B$5:$B$5000,$A178,Cashflows!$G$5:$G$5000,"Angekündigt",Cashflows!$C$5:$C$5000,"&lt;&gt;Ausschüttung",Cashflows!$F$5:$F$5000,"&gt;0")=0,"",MINIFS(Cashflows!$F$5:$F$5000,Cashflows!$B$5:$B$5000,$A178,Cashflows!$G$5:$G$5000,"Angekündigt",Cashflows!$C$5:$C$5000,"&lt;&gt;Ausschüttung",Cashflows!$F$5:$F$5000,"&gt;0")))</f>
      </c>
      <c r="L178" s="25">
        <f>IF($A178="","",I178+J178)</f>
      </c>
    </row>
    <row r="179" spans="1:12" x14ac:dyDescent="0.25">
      <c r="A179" s="23">
        <f>IF(INDEX(Fonds!$A$1:$A$1000,142)="","",INDEX(Fonds!$A$1:$A$1000,142))</f>
      </c>
      <c r="B179" s="23">
        <f>IF($A179="","",INDEX(Fonds!$B$1:$B$1000,142)&amp;"")</f>
      </c>
      <c r="C179" s="23">
        <f>IF($A179="","",INDEX(Fonds!$D$1:$D$1000,142)&amp;"")</f>
      </c>
      <c r="D179" s="25">
        <f>IF($A179="","",INDEX(Fonds!$E$1:$E$1000,142))</f>
      </c>
      <c r="E179" s="25">
        <f>IF($A179="","",SUMIFS(Cashflows!$D$5:$D$5000,Cashflows!$B$5:$B$5000,$A179,Cashflows!$C$5:$C$5000,"Abruf"))</f>
      </c>
      <c r="F179" s="25">
        <f>IF($A179="","",SUMIFS(Cashflows!$D$5:$D$5000,Cashflows!$B$5:$B$5000,$A179,Cashflows!$C$5:$C$5000,"Gebühr außerhalb der Zusage")+SUMIFS(Cashflows!$D$5:$D$5000,Cashflows!$B$5:$B$5000,$A179,Cashflows!$C$5:$C$5000,"Ausgleichszins"))</f>
      </c>
      <c r="G179" s="25">
        <f>IF($A179="","",SUMIFS(Cashflows!$D$5:$D$5000,Cashflows!$B$5:$B$5000,$A179,Cashflows!$C$5:$C$5000,"Ausschüttung"))</f>
      </c>
      <c r="H179" s="25">
        <f>IF($A179="","",SUMIFS(Cashflows!$E$5:$E$5000,Cashflows!$B$5:$B$5000,$A179,Cashflows!$C$5:$C$5000,"Ausschüttung"))</f>
      </c>
      <c r="I179" s="26">
        <f>IF($A179="","",D179-E179+H179)</f>
      </c>
      <c r="J179" s="25">
        <f>IF($A179="","",SUMIFS(Cashflows!$D$5:$D$5000,Cashflows!$B$5:$B$5000,$A179,Cashflows!$G$5:$G$5000,"Angekündigt",Cashflows!$C$5:$C$5000,"&lt;&gt;Ausschüttung"))</f>
      </c>
      <c r="K179" s="27">
        <f>IF($A179="","",IF(COUNTIFS(Cashflows!$B$5:$B$5000,$A179,Cashflows!$G$5:$G$5000,"Angekündigt",Cashflows!$C$5:$C$5000,"&lt;&gt;Ausschüttung",Cashflows!$F$5:$F$5000,"&gt;0")=0,"",MINIFS(Cashflows!$F$5:$F$5000,Cashflows!$B$5:$B$5000,$A179,Cashflows!$G$5:$G$5000,"Angekündigt",Cashflows!$C$5:$C$5000,"&lt;&gt;Ausschüttung",Cashflows!$F$5:$F$5000,"&gt;0")))</f>
      </c>
      <c r="L179" s="25">
        <f>IF($A179="","",I179+J179)</f>
      </c>
    </row>
    <row r="180" spans="1:12" x14ac:dyDescent="0.25">
      <c r="A180" s="23">
        <f>IF(INDEX(Fonds!$A$1:$A$1000,143)="","",INDEX(Fonds!$A$1:$A$1000,143))</f>
      </c>
      <c r="B180" s="23">
        <f>IF($A180="","",INDEX(Fonds!$B$1:$B$1000,143)&amp;"")</f>
      </c>
      <c r="C180" s="23">
        <f>IF($A180="","",INDEX(Fonds!$D$1:$D$1000,143)&amp;"")</f>
      </c>
      <c r="D180" s="25">
        <f>IF($A180="","",INDEX(Fonds!$E$1:$E$1000,143))</f>
      </c>
      <c r="E180" s="25">
        <f>IF($A180="","",SUMIFS(Cashflows!$D$5:$D$5000,Cashflows!$B$5:$B$5000,$A180,Cashflows!$C$5:$C$5000,"Abruf"))</f>
      </c>
      <c r="F180" s="25">
        <f>IF($A180="","",SUMIFS(Cashflows!$D$5:$D$5000,Cashflows!$B$5:$B$5000,$A180,Cashflows!$C$5:$C$5000,"Gebühr außerhalb der Zusage")+SUMIFS(Cashflows!$D$5:$D$5000,Cashflows!$B$5:$B$5000,$A180,Cashflows!$C$5:$C$5000,"Ausgleichszins"))</f>
      </c>
      <c r="G180" s="25">
        <f>IF($A180="","",SUMIFS(Cashflows!$D$5:$D$5000,Cashflows!$B$5:$B$5000,$A180,Cashflows!$C$5:$C$5000,"Ausschüttung"))</f>
      </c>
      <c r="H180" s="25">
        <f>IF($A180="","",SUMIFS(Cashflows!$E$5:$E$5000,Cashflows!$B$5:$B$5000,$A180,Cashflows!$C$5:$C$5000,"Ausschüttung"))</f>
      </c>
      <c r="I180" s="26">
        <f>IF($A180="","",D180-E180+H180)</f>
      </c>
      <c r="J180" s="25">
        <f>IF($A180="","",SUMIFS(Cashflows!$D$5:$D$5000,Cashflows!$B$5:$B$5000,$A180,Cashflows!$G$5:$G$5000,"Angekündigt",Cashflows!$C$5:$C$5000,"&lt;&gt;Ausschüttung"))</f>
      </c>
      <c r="K180" s="27">
        <f>IF($A180="","",IF(COUNTIFS(Cashflows!$B$5:$B$5000,$A180,Cashflows!$G$5:$G$5000,"Angekündigt",Cashflows!$C$5:$C$5000,"&lt;&gt;Ausschüttung",Cashflows!$F$5:$F$5000,"&gt;0")=0,"",MINIFS(Cashflows!$F$5:$F$5000,Cashflows!$B$5:$B$5000,$A180,Cashflows!$G$5:$G$5000,"Angekündigt",Cashflows!$C$5:$C$5000,"&lt;&gt;Ausschüttung",Cashflows!$F$5:$F$5000,"&gt;0")))</f>
      </c>
      <c r="L180" s="25">
        <f>IF($A180="","",I180+J180)</f>
      </c>
    </row>
    <row r="181" spans="1:12" x14ac:dyDescent="0.25">
      <c r="A181" s="23">
        <f>IF(INDEX(Fonds!$A$1:$A$1000,144)="","",INDEX(Fonds!$A$1:$A$1000,144))</f>
      </c>
      <c r="B181" s="23">
        <f>IF($A181="","",INDEX(Fonds!$B$1:$B$1000,144)&amp;"")</f>
      </c>
      <c r="C181" s="23">
        <f>IF($A181="","",INDEX(Fonds!$D$1:$D$1000,144)&amp;"")</f>
      </c>
      <c r="D181" s="25">
        <f>IF($A181="","",INDEX(Fonds!$E$1:$E$1000,144))</f>
      </c>
      <c r="E181" s="25">
        <f>IF($A181="","",SUMIFS(Cashflows!$D$5:$D$5000,Cashflows!$B$5:$B$5000,$A181,Cashflows!$C$5:$C$5000,"Abruf"))</f>
      </c>
      <c r="F181" s="25">
        <f>IF($A181="","",SUMIFS(Cashflows!$D$5:$D$5000,Cashflows!$B$5:$B$5000,$A181,Cashflows!$C$5:$C$5000,"Gebühr außerhalb der Zusage")+SUMIFS(Cashflows!$D$5:$D$5000,Cashflows!$B$5:$B$5000,$A181,Cashflows!$C$5:$C$5000,"Ausgleichszins"))</f>
      </c>
      <c r="G181" s="25">
        <f>IF($A181="","",SUMIFS(Cashflows!$D$5:$D$5000,Cashflows!$B$5:$B$5000,$A181,Cashflows!$C$5:$C$5000,"Ausschüttung"))</f>
      </c>
      <c r="H181" s="25">
        <f>IF($A181="","",SUMIFS(Cashflows!$E$5:$E$5000,Cashflows!$B$5:$B$5000,$A181,Cashflows!$C$5:$C$5000,"Ausschüttung"))</f>
      </c>
      <c r="I181" s="26">
        <f>IF($A181="","",D181-E181+H181)</f>
      </c>
      <c r="J181" s="25">
        <f>IF($A181="","",SUMIFS(Cashflows!$D$5:$D$5000,Cashflows!$B$5:$B$5000,$A181,Cashflows!$G$5:$G$5000,"Angekündigt",Cashflows!$C$5:$C$5000,"&lt;&gt;Ausschüttung"))</f>
      </c>
      <c r="K181" s="27">
        <f>IF($A181="","",IF(COUNTIFS(Cashflows!$B$5:$B$5000,$A181,Cashflows!$G$5:$G$5000,"Angekündigt",Cashflows!$C$5:$C$5000,"&lt;&gt;Ausschüttung",Cashflows!$F$5:$F$5000,"&gt;0")=0,"",MINIFS(Cashflows!$F$5:$F$5000,Cashflows!$B$5:$B$5000,$A181,Cashflows!$G$5:$G$5000,"Angekündigt",Cashflows!$C$5:$C$5000,"&lt;&gt;Ausschüttung",Cashflows!$F$5:$F$5000,"&gt;0")))</f>
      </c>
      <c r="L181" s="25">
        <f>IF($A181="","",I181+J181)</f>
      </c>
    </row>
    <row r="182" spans="1:12" x14ac:dyDescent="0.25">
      <c r="A182" s="23">
        <f>IF(INDEX(Fonds!$A$1:$A$1000,145)="","",INDEX(Fonds!$A$1:$A$1000,145))</f>
      </c>
      <c r="B182" s="23">
        <f>IF($A182="","",INDEX(Fonds!$B$1:$B$1000,145)&amp;"")</f>
      </c>
      <c r="C182" s="23">
        <f>IF($A182="","",INDEX(Fonds!$D$1:$D$1000,145)&amp;"")</f>
      </c>
      <c r="D182" s="25">
        <f>IF($A182="","",INDEX(Fonds!$E$1:$E$1000,145))</f>
      </c>
      <c r="E182" s="25">
        <f>IF($A182="","",SUMIFS(Cashflows!$D$5:$D$5000,Cashflows!$B$5:$B$5000,$A182,Cashflows!$C$5:$C$5000,"Abruf"))</f>
      </c>
      <c r="F182" s="25">
        <f>IF($A182="","",SUMIFS(Cashflows!$D$5:$D$5000,Cashflows!$B$5:$B$5000,$A182,Cashflows!$C$5:$C$5000,"Gebühr außerhalb der Zusage")+SUMIFS(Cashflows!$D$5:$D$5000,Cashflows!$B$5:$B$5000,$A182,Cashflows!$C$5:$C$5000,"Ausgleichszins"))</f>
      </c>
      <c r="G182" s="25">
        <f>IF($A182="","",SUMIFS(Cashflows!$D$5:$D$5000,Cashflows!$B$5:$B$5000,$A182,Cashflows!$C$5:$C$5000,"Ausschüttung"))</f>
      </c>
      <c r="H182" s="25">
        <f>IF($A182="","",SUMIFS(Cashflows!$E$5:$E$5000,Cashflows!$B$5:$B$5000,$A182,Cashflows!$C$5:$C$5000,"Ausschüttung"))</f>
      </c>
      <c r="I182" s="26">
        <f>IF($A182="","",D182-E182+H182)</f>
      </c>
      <c r="J182" s="25">
        <f>IF($A182="","",SUMIFS(Cashflows!$D$5:$D$5000,Cashflows!$B$5:$B$5000,$A182,Cashflows!$G$5:$G$5000,"Angekündigt",Cashflows!$C$5:$C$5000,"&lt;&gt;Ausschüttung"))</f>
      </c>
      <c r="K182" s="27">
        <f>IF($A182="","",IF(COUNTIFS(Cashflows!$B$5:$B$5000,$A182,Cashflows!$G$5:$G$5000,"Angekündigt",Cashflows!$C$5:$C$5000,"&lt;&gt;Ausschüttung",Cashflows!$F$5:$F$5000,"&gt;0")=0,"",MINIFS(Cashflows!$F$5:$F$5000,Cashflows!$B$5:$B$5000,$A182,Cashflows!$G$5:$G$5000,"Angekündigt",Cashflows!$C$5:$C$5000,"&lt;&gt;Ausschüttung",Cashflows!$F$5:$F$5000,"&gt;0")))</f>
      </c>
      <c r="L182" s="25">
        <f>IF($A182="","",I182+J182)</f>
      </c>
    </row>
    <row r="183" spans="1:12" x14ac:dyDescent="0.25">
      <c r="A183" s="23">
        <f>IF(INDEX(Fonds!$A$1:$A$1000,146)="","",INDEX(Fonds!$A$1:$A$1000,146))</f>
      </c>
      <c r="B183" s="23">
        <f>IF($A183="","",INDEX(Fonds!$B$1:$B$1000,146)&amp;"")</f>
      </c>
      <c r="C183" s="23">
        <f>IF($A183="","",INDEX(Fonds!$D$1:$D$1000,146)&amp;"")</f>
      </c>
      <c r="D183" s="25">
        <f>IF($A183="","",INDEX(Fonds!$E$1:$E$1000,146))</f>
      </c>
      <c r="E183" s="25">
        <f>IF($A183="","",SUMIFS(Cashflows!$D$5:$D$5000,Cashflows!$B$5:$B$5000,$A183,Cashflows!$C$5:$C$5000,"Abruf"))</f>
      </c>
      <c r="F183" s="25">
        <f>IF($A183="","",SUMIFS(Cashflows!$D$5:$D$5000,Cashflows!$B$5:$B$5000,$A183,Cashflows!$C$5:$C$5000,"Gebühr außerhalb der Zusage")+SUMIFS(Cashflows!$D$5:$D$5000,Cashflows!$B$5:$B$5000,$A183,Cashflows!$C$5:$C$5000,"Ausgleichszins"))</f>
      </c>
      <c r="G183" s="25">
        <f>IF($A183="","",SUMIFS(Cashflows!$D$5:$D$5000,Cashflows!$B$5:$B$5000,$A183,Cashflows!$C$5:$C$5000,"Ausschüttung"))</f>
      </c>
      <c r="H183" s="25">
        <f>IF($A183="","",SUMIFS(Cashflows!$E$5:$E$5000,Cashflows!$B$5:$B$5000,$A183,Cashflows!$C$5:$C$5000,"Ausschüttung"))</f>
      </c>
      <c r="I183" s="26">
        <f>IF($A183="","",D183-E183+H183)</f>
      </c>
      <c r="J183" s="25">
        <f>IF($A183="","",SUMIFS(Cashflows!$D$5:$D$5000,Cashflows!$B$5:$B$5000,$A183,Cashflows!$G$5:$G$5000,"Angekündigt",Cashflows!$C$5:$C$5000,"&lt;&gt;Ausschüttung"))</f>
      </c>
      <c r="K183" s="27">
        <f>IF($A183="","",IF(COUNTIFS(Cashflows!$B$5:$B$5000,$A183,Cashflows!$G$5:$G$5000,"Angekündigt",Cashflows!$C$5:$C$5000,"&lt;&gt;Ausschüttung",Cashflows!$F$5:$F$5000,"&gt;0")=0,"",MINIFS(Cashflows!$F$5:$F$5000,Cashflows!$B$5:$B$5000,$A183,Cashflows!$G$5:$G$5000,"Angekündigt",Cashflows!$C$5:$C$5000,"&lt;&gt;Ausschüttung",Cashflows!$F$5:$F$5000,"&gt;0")))</f>
      </c>
      <c r="L183" s="25">
        <f>IF($A183="","",I183+J183)</f>
      </c>
    </row>
    <row r="184" spans="1:12" x14ac:dyDescent="0.25">
      <c r="A184" s="23">
        <f>IF(INDEX(Fonds!$A$1:$A$1000,147)="","",INDEX(Fonds!$A$1:$A$1000,147))</f>
      </c>
      <c r="B184" s="23">
        <f>IF($A184="","",INDEX(Fonds!$B$1:$B$1000,147)&amp;"")</f>
      </c>
      <c r="C184" s="23">
        <f>IF($A184="","",INDEX(Fonds!$D$1:$D$1000,147)&amp;"")</f>
      </c>
      <c r="D184" s="25">
        <f>IF($A184="","",INDEX(Fonds!$E$1:$E$1000,147))</f>
      </c>
      <c r="E184" s="25">
        <f>IF($A184="","",SUMIFS(Cashflows!$D$5:$D$5000,Cashflows!$B$5:$B$5000,$A184,Cashflows!$C$5:$C$5000,"Abruf"))</f>
      </c>
      <c r="F184" s="25">
        <f>IF($A184="","",SUMIFS(Cashflows!$D$5:$D$5000,Cashflows!$B$5:$B$5000,$A184,Cashflows!$C$5:$C$5000,"Gebühr außerhalb der Zusage")+SUMIFS(Cashflows!$D$5:$D$5000,Cashflows!$B$5:$B$5000,$A184,Cashflows!$C$5:$C$5000,"Ausgleichszins"))</f>
      </c>
      <c r="G184" s="25">
        <f>IF($A184="","",SUMIFS(Cashflows!$D$5:$D$5000,Cashflows!$B$5:$B$5000,$A184,Cashflows!$C$5:$C$5000,"Ausschüttung"))</f>
      </c>
      <c r="H184" s="25">
        <f>IF($A184="","",SUMIFS(Cashflows!$E$5:$E$5000,Cashflows!$B$5:$B$5000,$A184,Cashflows!$C$5:$C$5000,"Ausschüttung"))</f>
      </c>
      <c r="I184" s="26">
        <f>IF($A184="","",D184-E184+H184)</f>
      </c>
      <c r="J184" s="25">
        <f>IF($A184="","",SUMIFS(Cashflows!$D$5:$D$5000,Cashflows!$B$5:$B$5000,$A184,Cashflows!$G$5:$G$5000,"Angekündigt",Cashflows!$C$5:$C$5000,"&lt;&gt;Ausschüttung"))</f>
      </c>
      <c r="K184" s="27">
        <f>IF($A184="","",IF(COUNTIFS(Cashflows!$B$5:$B$5000,$A184,Cashflows!$G$5:$G$5000,"Angekündigt",Cashflows!$C$5:$C$5000,"&lt;&gt;Ausschüttung",Cashflows!$F$5:$F$5000,"&gt;0")=0,"",MINIFS(Cashflows!$F$5:$F$5000,Cashflows!$B$5:$B$5000,$A184,Cashflows!$G$5:$G$5000,"Angekündigt",Cashflows!$C$5:$C$5000,"&lt;&gt;Ausschüttung",Cashflows!$F$5:$F$5000,"&gt;0")))</f>
      </c>
      <c r="L184" s="25">
        <f>IF($A184="","",I184+J184)</f>
      </c>
    </row>
    <row r="185" spans="1:12" x14ac:dyDescent="0.25">
      <c r="A185" s="23">
        <f>IF(INDEX(Fonds!$A$1:$A$1000,148)="","",INDEX(Fonds!$A$1:$A$1000,148))</f>
      </c>
      <c r="B185" s="23">
        <f>IF($A185="","",INDEX(Fonds!$B$1:$B$1000,148)&amp;"")</f>
      </c>
      <c r="C185" s="23">
        <f>IF($A185="","",INDEX(Fonds!$D$1:$D$1000,148)&amp;"")</f>
      </c>
      <c r="D185" s="25">
        <f>IF($A185="","",INDEX(Fonds!$E$1:$E$1000,148))</f>
      </c>
      <c r="E185" s="25">
        <f>IF($A185="","",SUMIFS(Cashflows!$D$5:$D$5000,Cashflows!$B$5:$B$5000,$A185,Cashflows!$C$5:$C$5000,"Abruf"))</f>
      </c>
      <c r="F185" s="25">
        <f>IF($A185="","",SUMIFS(Cashflows!$D$5:$D$5000,Cashflows!$B$5:$B$5000,$A185,Cashflows!$C$5:$C$5000,"Gebühr außerhalb der Zusage")+SUMIFS(Cashflows!$D$5:$D$5000,Cashflows!$B$5:$B$5000,$A185,Cashflows!$C$5:$C$5000,"Ausgleichszins"))</f>
      </c>
      <c r="G185" s="25">
        <f>IF($A185="","",SUMIFS(Cashflows!$D$5:$D$5000,Cashflows!$B$5:$B$5000,$A185,Cashflows!$C$5:$C$5000,"Ausschüttung"))</f>
      </c>
      <c r="H185" s="25">
        <f>IF($A185="","",SUMIFS(Cashflows!$E$5:$E$5000,Cashflows!$B$5:$B$5000,$A185,Cashflows!$C$5:$C$5000,"Ausschüttung"))</f>
      </c>
      <c r="I185" s="26">
        <f>IF($A185="","",D185-E185+H185)</f>
      </c>
      <c r="J185" s="25">
        <f>IF($A185="","",SUMIFS(Cashflows!$D$5:$D$5000,Cashflows!$B$5:$B$5000,$A185,Cashflows!$G$5:$G$5000,"Angekündigt",Cashflows!$C$5:$C$5000,"&lt;&gt;Ausschüttung"))</f>
      </c>
      <c r="K185" s="27">
        <f>IF($A185="","",IF(COUNTIFS(Cashflows!$B$5:$B$5000,$A185,Cashflows!$G$5:$G$5000,"Angekündigt",Cashflows!$C$5:$C$5000,"&lt;&gt;Ausschüttung",Cashflows!$F$5:$F$5000,"&gt;0")=0,"",MINIFS(Cashflows!$F$5:$F$5000,Cashflows!$B$5:$B$5000,$A185,Cashflows!$G$5:$G$5000,"Angekündigt",Cashflows!$C$5:$C$5000,"&lt;&gt;Ausschüttung",Cashflows!$F$5:$F$5000,"&gt;0")))</f>
      </c>
      <c r="L185" s="25">
        <f>IF($A185="","",I185+J185)</f>
      </c>
    </row>
    <row r="186" spans="1:12" x14ac:dyDescent="0.25">
      <c r="A186" s="23">
        <f>IF(INDEX(Fonds!$A$1:$A$1000,149)="","",INDEX(Fonds!$A$1:$A$1000,149))</f>
      </c>
      <c r="B186" s="23">
        <f>IF($A186="","",INDEX(Fonds!$B$1:$B$1000,149)&amp;"")</f>
      </c>
      <c r="C186" s="23">
        <f>IF($A186="","",INDEX(Fonds!$D$1:$D$1000,149)&amp;"")</f>
      </c>
      <c r="D186" s="25">
        <f>IF($A186="","",INDEX(Fonds!$E$1:$E$1000,149))</f>
      </c>
      <c r="E186" s="25">
        <f>IF($A186="","",SUMIFS(Cashflows!$D$5:$D$5000,Cashflows!$B$5:$B$5000,$A186,Cashflows!$C$5:$C$5000,"Abruf"))</f>
      </c>
      <c r="F186" s="25">
        <f>IF($A186="","",SUMIFS(Cashflows!$D$5:$D$5000,Cashflows!$B$5:$B$5000,$A186,Cashflows!$C$5:$C$5000,"Gebühr außerhalb der Zusage")+SUMIFS(Cashflows!$D$5:$D$5000,Cashflows!$B$5:$B$5000,$A186,Cashflows!$C$5:$C$5000,"Ausgleichszins"))</f>
      </c>
      <c r="G186" s="25">
        <f>IF($A186="","",SUMIFS(Cashflows!$D$5:$D$5000,Cashflows!$B$5:$B$5000,$A186,Cashflows!$C$5:$C$5000,"Ausschüttung"))</f>
      </c>
      <c r="H186" s="25">
        <f>IF($A186="","",SUMIFS(Cashflows!$E$5:$E$5000,Cashflows!$B$5:$B$5000,$A186,Cashflows!$C$5:$C$5000,"Ausschüttung"))</f>
      </c>
      <c r="I186" s="26">
        <f>IF($A186="","",D186-E186+H186)</f>
      </c>
      <c r="J186" s="25">
        <f>IF($A186="","",SUMIFS(Cashflows!$D$5:$D$5000,Cashflows!$B$5:$B$5000,$A186,Cashflows!$G$5:$G$5000,"Angekündigt",Cashflows!$C$5:$C$5000,"&lt;&gt;Ausschüttung"))</f>
      </c>
      <c r="K186" s="27">
        <f>IF($A186="","",IF(COUNTIFS(Cashflows!$B$5:$B$5000,$A186,Cashflows!$G$5:$G$5000,"Angekündigt",Cashflows!$C$5:$C$5000,"&lt;&gt;Ausschüttung",Cashflows!$F$5:$F$5000,"&gt;0")=0,"",MINIFS(Cashflows!$F$5:$F$5000,Cashflows!$B$5:$B$5000,$A186,Cashflows!$G$5:$G$5000,"Angekündigt",Cashflows!$C$5:$C$5000,"&lt;&gt;Ausschüttung",Cashflows!$F$5:$F$5000,"&gt;0")))</f>
      </c>
      <c r="L186" s="25">
        <f>IF($A186="","",I186+J186)</f>
      </c>
    </row>
    <row r="187" spans="1:12" x14ac:dyDescent="0.25">
      <c r="A187" s="23">
        <f>IF(INDEX(Fonds!$A$1:$A$1000,150)="","",INDEX(Fonds!$A$1:$A$1000,150))</f>
      </c>
      <c r="B187" s="23">
        <f>IF($A187="","",INDEX(Fonds!$B$1:$B$1000,150)&amp;"")</f>
      </c>
      <c r="C187" s="23">
        <f>IF($A187="","",INDEX(Fonds!$D$1:$D$1000,150)&amp;"")</f>
      </c>
      <c r="D187" s="25">
        <f>IF($A187="","",INDEX(Fonds!$E$1:$E$1000,150))</f>
      </c>
      <c r="E187" s="25">
        <f>IF($A187="","",SUMIFS(Cashflows!$D$5:$D$5000,Cashflows!$B$5:$B$5000,$A187,Cashflows!$C$5:$C$5000,"Abruf"))</f>
      </c>
      <c r="F187" s="25">
        <f>IF($A187="","",SUMIFS(Cashflows!$D$5:$D$5000,Cashflows!$B$5:$B$5000,$A187,Cashflows!$C$5:$C$5000,"Gebühr außerhalb der Zusage")+SUMIFS(Cashflows!$D$5:$D$5000,Cashflows!$B$5:$B$5000,$A187,Cashflows!$C$5:$C$5000,"Ausgleichszins"))</f>
      </c>
      <c r="G187" s="25">
        <f>IF($A187="","",SUMIFS(Cashflows!$D$5:$D$5000,Cashflows!$B$5:$B$5000,$A187,Cashflows!$C$5:$C$5000,"Ausschüttung"))</f>
      </c>
      <c r="H187" s="25">
        <f>IF($A187="","",SUMIFS(Cashflows!$E$5:$E$5000,Cashflows!$B$5:$B$5000,$A187,Cashflows!$C$5:$C$5000,"Ausschüttung"))</f>
      </c>
      <c r="I187" s="26">
        <f>IF($A187="","",D187-E187+H187)</f>
      </c>
      <c r="J187" s="25">
        <f>IF($A187="","",SUMIFS(Cashflows!$D$5:$D$5000,Cashflows!$B$5:$B$5000,$A187,Cashflows!$G$5:$G$5000,"Angekündigt",Cashflows!$C$5:$C$5000,"&lt;&gt;Ausschüttung"))</f>
      </c>
      <c r="K187" s="27">
        <f>IF($A187="","",IF(COUNTIFS(Cashflows!$B$5:$B$5000,$A187,Cashflows!$G$5:$G$5000,"Angekündigt",Cashflows!$C$5:$C$5000,"&lt;&gt;Ausschüttung",Cashflows!$F$5:$F$5000,"&gt;0")=0,"",MINIFS(Cashflows!$F$5:$F$5000,Cashflows!$B$5:$B$5000,$A187,Cashflows!$G$5:$G$5000,"Angekündigt",Cashflows!$C$5:$C$5000,"&lt;&gt;Ausschüttung",Cashflows!$F$5:$F$5000,"&gt;0")))</f>
      </c>
      <c r="L187" s="25">
        <f>IF($A187="","",I187+J187)</f>
      </c>
    </row>
    <row r="188" spans="1:12" x14ac:dyDescent="0.25">
      <c r="A188" s="23">
        <f>IF(INDEX(Fonds!$A$1:$A$1000,151)="","",INDEX(Fonds!$A$1:$A$1000,151))</f>
      </c>
      <c r="B188" s="23">
        <f>IF($A188="","",INDEX(Fonds!$B$1:$B$1000,151)&amp;"")</f>
      </c>
      <c r="C188" s="23">
        <f>IF($A188="","",INDEX(Fonds!$D$1:$D$1000,151)&amp;"")</f>
      </c>
      <c r="D188" s="25">
        <f>IF($A188="","",INDEX(Fonds!$E$1:$E$1000,151))</f>
      </c>
      <c r="E188" s="25">
        <f>IF($A188="","",SUMIFS(Cashflows!$D$5:$D$5000,Cashflows!$B$5:$B$5000,$A188,Cashflows!$C$5:$C$5000,"Abruf"))</f>
      </c>
      <c r="F188" s="25">
        <f>IF($A188="","",SUMIFS(Cashflows!$D$5:$D$5000,Cashflows!$B$5:$B$5000,$A188,Cashflows!$C$5:$C$5000,"Gebühr außerhalb der Zusage")+SUMIFS(Cashflows!$D$5:$D$5000,Cashflows!$B$5:$B$5000,$A188,Cashflows!$C$5:$C$5000,"Ausgleichszins"))</f>
      </c>
      <c r="G188" s="25">
        <f>IF($A188="","",SUMIFS(Cashflows!$D$5:$D$5000,Cashflows!$B$5:$B$5000,$A188,Cashflows!$C$5:$C$5000,"Ausschüttung"))</f>
      </c>
      <c r="H188" s="25">
        <f>IF($A188="","",SUMIFS(Cashflows!$E$5:$E$5000,Cashflows!$B$5:$B$5000,$A188,Cashflows!$C$5:$C$5000,"Ausschüttung"))</f>
      </c>
      <c r="I188" s="26">
        <f>IF($A188="","",D188-E188+H188)</f>
      </c>
      <c r="J188" s="25">
        <f>IF($A188="","",SUMIFS(Cashflows!$D$5:$D$5000,Cashflows!$B$5:$B$5000,$A188,Cashflows!$G$5:$G$5000,"Angekündigt",Cashflows!$C$5:$C$5000,"&lt;&gt;Ausschüttung"))</f>
      </c>
      <c r="K188" s="27">
        <f>IF($A188="","",IF(COUNTIFS(Cashflows!$B$5:$B$5000,$A188,Cashflows!$G$5:$G$5000,"Angekündigt",Cashflows!$C$5:$C$5000,"&lt;&gt;Ausschüttung",Cashflows!$F$5:$F$5000,"&gt;0")=0,"",MINIFS(Cashflows!$F$5:$F$5000,Cashflows!$B$5:$B$5000,$A188,Cashflows!$G$5:$G$5000,"Angekündigt",Cashflows!$C$5:$C$5000,"&lt;&gt;Ausschüttung",Cashflows!$F$5:$F$5000,"&gt;0")))</f>
      </c>
      <c r="L188" s="25">
        <f>IF($A188="","",I188+J188)</f>
      </c>
    </row>
    <row r="189" spans="1:12" x14ac:dyDescent="0.25">
      <c r="A189" s="23">
        <f>IF(INDEX(Fonds!$A$1:$A$1000,152)="","",INDEX(Fonds!$A$1:$A$1000,152))</f>
      </c>
      <c r="B189" s="23">
        <f>IF($A189="","",INDEX(Fonds!$B$1:$B$1000,152)&amp;"")</f>
      </c>
      <c r="C189" s="23">
        <f>IF($A189="","",INDEX(Fonds!$D$1:$D$1000,152)&amp;"")</f>
      </c>
      <c r="D189" s="25">
        <f>IF($A189="","",INDEX(Fonds!$E$1:$E$1000,152))</f>
      </c>
      <c r="E189" s="25">
        <f>IF($A189="","",SUMIFS(Cashflows!$D$5:$D$5000,Cashflows!$B$5:$B$5000,$A189,Cashflows!$C$5:$C$5000,"Abruf"))</f>
      </c>
      <c r="F189" s="25">
        <f>IF($A189="","",SUMIFS(Cashflows!$D$5:$D$5000,Cashflows!$B$5:$B$5000,$A189,Cashflows!$C$5:$C$5000,"Gebühr außerhalb der Zusage")+SUMIFS(Cashflows!$D$5:$D$5000,Cashflows!$B$5:$B$5000,$A189,Cashflows!$C$5:$C$5000,"Ausgleichszins"))</f>
      </c>
      <c r="G189" s="25">
        <f>IF($A189="","",SUMIFS(Cashflows!$D$5:$D$5000,Cashflows!$B$5:$B$5000,$A189,Cashflows!$C$5:$C$5000,"Ausschüttung"))</f>
      </c>
      <c r="H189" s="25">
        <f>IF($A189="","",SUMIFS(Cashflows!$E$5:$E$5000,Cashflows!$B$5:$B$5000,$A189,Cashflows!$C$5:$C$5000,"Ausschüttung"))</f>
      </c>
      <c r="I189" s="26">
        <f>IF($A189="","",D189-E189+H189)</f>
      </c>
      <c r="J189" s="25">
        <f>IF($A189="","",SUMIFS(Cashflows!$D$5:$D$5000,Cashflows!$B$5:$B$5000,$A189,Cashflows!$G$5:$G$5000,"Angekündigt",Cashflows!$C$5:$C$5000,"&lt;&gt;Ausschüttung"))</f>
      </c>
      <c r="K189" s="27">
        <f>IF($A189="","",IF(COUNTIFS(Cashflows!$B$5:$B$5000,$A189,Cashflows!$G$5:$G$5000,"Angekündigt",Cashflows!$C$5:$C$5000,"&lt;&gt;Ausschüttung",Cashflows!$F$5:$F$5000,"&gt;0")=0,"",MINIFS(Cashflows!$F$5:$F$5000,Cashflows!$B$5:$B$5000,$A189,Cashflows!$G$5:$G$5000,"Angekündigt",Cashflows!$C$5:$C$5000,"&lt;&gt;Ausschüttung",Cashflows!$F$5:$F$5000,"&gt;0")))</f>
      </c>
      <c r="L189" s="25">
        <f>IF($A189="","",I189+J189)</f>
      </c>
    </row>
    <row r="190" spans="1:12" x14ac:dyDescent="0.25">
      <c r="A190" s="23">
        <f>IF(INDEX(Fonds!$A$1:$A$1000,153)="","",INDEX(Fonds!$A$1:$A$1000,153))</f>
      </c>
      <c r="B190" s="23">
        <f>IF($A190="","",INDEX(Fonds!$B$1:$B$1000,153)&amp;"")</f>
      </c>
      <c r="C190" s="23">
        <f>IF($A190="","",INDEX(Fonds!$D$1:$D$1000,153)&amp;"")</f>
      </c>
      <c r="D190" s="25">
        <f>IF($A190="","",INDEX(Fonds!$E$1:$E$1000,153))</f>
      </c>
      <c r="E190" s="25">
        <f>IF($A190="","",SUMIFS(Cashflows!$D$5:$D$5000,Cashflows!$B$5:$B$5000,$A190,Cashflows!$C$5:$C$5000,"Abruf"))</f>
      </c>
      <c r="F190" s="25">
        <f>IF($A190="","",SUMIFS(Cashflows!$D$5:$D$5000,Cashflows!$B$5:$B$5000,$A190,Cashflows!$C$5:$C$5000,"Gebühr außerhalb der Zusage")+SUMIFS(Cashflows!$D$5:$D$5000,Cashflows!$B$5:$B$5000,$A190,Cashflows!$C$5:$C$5000,"Ausgleichszins"))</f>
      </c>
      <c r="G190" s="25">
        <f>IF($A190="","",SUMIFS(Cashflows!$D$5:$D$5000,Cashflows!$B$5:$B$5000,$A190,Cashflows!$C$5:$C$5000,"Ausschüttung"))</f>
      </c>
      <c r="H190" s="25">
        <f>IF($A190="","",SUMIFS(Cashflows!$E$5:$E$5000,Cashflows!$B$5:$B$5000,$A190,Cashflows!$C$5:$C$5000,"Ausschüttung"))</f>
      </c>
      <c r="I190" s="26">
        <f>IF($A190="","",D190-E190+H190)</f>
      </c>
      <c r="J190" s="25">
        <f>IF($A190="","",SUMIFS(Cashflows!$D$5:$D$5000,Cashflows!$B$5:$B$5000,$A190,Cashflows!$G$5:$G$5000,"Angekündigt",Cashflows!$C$5:$C$5000,"&lt;&gt;Ausschüttung"))</f>
      </c>
      <c r="K190" s="27">
        <f>IF($A190="","",IF(COUNTIFS(Cashflows!$B$5:$B$5000,$A190,Cashflows!$G$5:$G$5000,"Angekündigt",Cashflows!$C$5:$C$5000,"&lt;&gt;Ausschüttung",Cashflows!$F$5:$F$5000,"&gt;0")=0,"",MINIFS(Cashflows!$F$5:$F$5000,Cashflows!$B$5:$B$5000,$A190,Cashflows!$G$5:$G$5000,"Angekündigt",Cashflows!$C$5:$C$5000,"&lt;&gt;Ausschüttung",Cashflows!$F$5:$F$5000,"&gt;0")))</f>
      </c>
      <c r="L190" s="25">
        <f>IF($A190="","",I190+J190)</f>
      </c>
    </row>
    <row r="191" spans="1:12" x14ac:dyDescent="0.25">
      <c r="A191" s="23">
        <f>IF(INDEX(Fonds!$A$1:$A$1000,154)="","",INDEX(Fonds!$A$1:$A$1000,154))</f>
      </c>
      <c r="B191" s="23">
        <f>IF($A191="","",INDEX(Fonds!$B$1:$B$1000,154)&amp;"")</f>
      </c>
      <c r="C191" s="23">
        <f>IF($A191="","",INDEX(Fonds!$D$1:$D$1000,154)&amp;"")</f>
      </c>
      <c r="D191" s="25">
        <f>IF($A191="","",INDEX(Fonds!$E$1:$E$1000,154))</f>
      </c>
      <c r="E191" s="25">
        <f>IF($A191="","",SUMIFS(Cashflows!$D$5:$D$5000,Cashflows!$B$5:$B$5000,$A191,Cashflows!$C$5:$C$5000,"Abruf"))</f>
      </c>
      <c r="F191" s="25">
        <f>IF($A191="","",SUMIFS(Cashflows!$D$5:$D$5000,Cashflows!$B$5:$B$5000,$A191,Cashflows!$C$5:$C$5000,"Gebühr außerhalb der Zusage")+SUMIFS(Cashflows!$D$5:$D$5000,Cashflows!$B$5:$B$5000,$A191,Cashflows!$C$5:$C$5000,"Ausgleichszins"))</f>
      </c>
      <c r="G191" s="25">
        <f>IF($A191="","",SUMIFS(Cashflows!$D$5:$D$5000,Cashflows!$B$5:$B$5000,$A191,Cashflows!$C$5:$C$5000,"Ausschüttung"))</f>
      </c>
      <c r="H191" s="25">
        <f>IF($A191="","",SUMIFS(Cashflows!$E$5:$E$5000,Cashflows!$B$5:$B$5000,$A191,Cashflows!$C$5:$C$5000,"Ausschüttung"))</f>
      </c>
      <c r="I191" s="26">
        <f>IF($A191="","",D191-E191+H191)</f>
      </c>
      <c r="J191" s="25">
        <f>IF($A191="","",SUMIFS(Cashflows!$D$5:$D$5000,Cashflows!$B$5:$B$5000,$A191,Cashflows!$G$5:$G$5000,"Angekündigt",Cashflows!$C$5:$C$5000,"&lt;&gt;Ausschüttung"))</f>
      </c>
      <c r="K191" s="27">
        <f>IF($A191="","",IF(COUNTIFS(Cashflows!$B$5:$B$5000,$A191,Cashflows!$G$5:$G$5000,"Angekündigt",Cashflows!$C$5:$C$5000,"&lt;&gt;Ausschüttung",Cashflows!$F$5:$F$5000,"&gt;0")=0,"",MINIFS(Cashflows!$F$5:$F$5000,Cashflows!$B$5:$B$5000,$A191,Cashflows!$G$5:$G$5000,"Angekündigt",Cashflows!$C$5:$C$5000,"&lt;&gt;Ausschüttung",Cashflows!$F$5:$F$5000,"&gt;0")))</f>
      </c>
      <c r="L191" s="25">
        <f>IF($A191="","",I191+J191)</f>
      </c>
    </row>
    <row r="192" spans="1:12" x14ac:dyDescent="0.25">
      <c r="A192" s="23">
        <f>IF(INDEX(Fonds!$A$1:$A$1000,155)="","",INDEX(Fonds!$A$1:$A$1000,155))</f>
      </c>
      <c r="B192" s="23">
        <f>IF($A192="","",INDEX(Fonds!$B$1:$B$1000,155)&amp;"")</f>
      </c>
      <c r="C192" s="23">
        <f>IF($A192="","",INDEX(Fonds!$D$1:$D$1000,155)&amp;"")</f>
      </c>
      <c r="D192" s="25">
        <f>IF($A192="","",INDEX(Fonds!$E$1:$E$1000,155))</f>
      </c>
      <c r="E192" s="25">
        <f>IF($A192="","",SUMIFS(Cashflows!$D$5:$D$5000,Cashflows!$B$5:$B$5000,$A192,Cashflows!$C$5:$C$5000,"Abruf"))</f>
      </c>
      <c r="F192" s="25">
        <f>IF($A192="","",SUMIFS(Cashflows!$D$5:$D$5000,Cashflows!$B$5:$B$5000,$A192,Cashflows!$C$5:$C$5000,"Gebühr außerhalb der Zusage")+SUMIFS(Cashflows!$D$5:$D$5000,Cashflows!$B$5:$B$5000,$A192,Cashflows!$C$5:$C$5000,"Ausgleichszins"))</f>
      </c>
      <c r="G192" s="25">
        <f>IF($A192="","",SUMIFS(Cashflows!$D$5:$D$5000,Cashflows!$B$5:$B$5000,$A192,Cashflows!$C$5:$C$5000,"Ausschüttung"))</f>
      </c>
      <c r="H192" s="25">
        <f>IF($A192="","",SUMIFS(Cashflows!$E$5:$E$5000,Cashflows!$B$5:$B$5000,$A192,Cashflows!$C$5:$C$5000,"Ausschüttung"))</f>
      </c>
      <c r="I192" s="26">
        <f>IF($A192="","",D192-E192+H192)</f>
      </c>
      <c r="J192" s="25">
        <f>IF($A192="","",SUMIFS(Cashflows!$D$5:$D$5000,Cashflows!$B$5:$B$5000,$A192,Cashflows!$G$5:$G$5000,"Angekündigt",Cashflows!$C$5:$C$5000,"&lt;&gt;Ausschüttung"))</f>
      </c>
      <c r="K192" s="27">
        <f>IF($A192="","",IF(COUNTIFS(Cashflows!$B$5:$B$5000,$A192,Cashflows!$G$5:$G$5000,"Angekündigt",Cashflows!$C$5:$C$5000,"&lt;&gt;Ausschüttung",Cashflows!$F$5:$F$5000,"&gt;0")=0,"",MINIFS(Cashflows!$F$5:$F$5000,Cashflows!$B$5:$B$5000,$A192,Cashflows!$G$5:$G$5000,"Angekündigt",Cashflows!$C$5:$C$5000,"&lt;&gt;Ausschüttung",Cashflows!$F$5:$F$5000,"&gt;0")))</f>
      </c>
      <c r="L192" s="25">
        <f>IF($A192="","",I192+J192)</f>
      </c>
    </row>
    <row r="193" spans="1:12" x14ac:dyDescent="0.25">
      <c r="A193" s="23">
        <f>IF(INDEX(Fonds!$A$1:$A$1000,156)="","",INDEX(Fonds!$A$1:$A$1000,156))</f>
      </c>
      <c r="B193" s="23">
        <f>IF($A193="","",INDEX(Fonds!$B$1:$B$1000,156)&amp;"")</f>
      </c>
      <c r="C193" s="23">
        <f>IF($A193="","",INDEX(Fonds!$D$1:$D$1000,156)&amp;"")</f>
      </c>
      <c r="D193" s="25">
        <f>IF($A193="","",INDEX(Fonds!$E$1:$E$1000,156))</f>
      </c>
      <c r="E193" s="25">
        <f>IF($A193="","",SUMIFS(Cashflows!$D$5:$D$5000,Cashflows!$B$5:$B$5000,$A193,Cashflows!$C$5:$C$5000,"Abruf"))</f>
      </c>
      <c r="F193" s="25">
        <f>IF($A193="","",SUMIFS(Cashflows!$D$5:$D$5000,Cashflows!$B$5:$B$5000,$A193,Cashflows!$C$5:$C$5000,"Gebühr außerhalb der Zusage")+SUMIFS(Cashflows!$D$5:$D$5000,Cashflows!$B$5:$B$5000,$A193,Cashflows!$C$5:$C$5000,"Ausgleichszins"))</f>
      </c>
      <c r="G193" s="25">
        <f>IF($A193="","",SUMIFS(Cashflows!$D$5:$D$5000,Cashflows!$B$5:$B$5000,$A193,Cashflows!$C$5:$C$5000,"Ausschüttung"))</f>
      </c>
      <c r="H193" s="25">
        <f>IF($A193="","",SUMIFS(Cashflows!$E$5:$E$5000,Cashflows!$B$5:$B$5000,$A193,Cashflows!$C$5:$C$5000,"Ausschüttung"))</f>
      </c>
      <c r="I193" s="26">
        <f>IF($A193="","",D193-E193+H193)</f>
      </c>
      <c r="J193" s="25">
        <f>IF($A193="","",SUMIFS(Cashflows!$D$5:$D$5000,Cashflows!$B$5:$B$5000,$A193,Cashflows!$G$5:$G$5000,"Angekündigt",Cashflows!$C$5:$C$5000,"&lt;&gt;Ausschüttung"))</f>
      </c>
      <c r="K193" s="27">
        <f>IF($A193="","",IF(COUNTIFS(Cashflows!$B$5:$B$5000,$A193,Cashflows!$G$5:$G$5000,"Angekündigt",Cashflows!$C$5:$C$5000,"&lt;&gt;Ausschüttung",Cashflows!$F$5:$F$5000,"&gt;0")=0,"",MINIFS(Cashflows!$F$5:$F$5000,Cashflows!$B$5:$B$5000,$A193,Cashflows!$G$5:$G$5000,"Angekündigt",Cashflows!$C$5:$C$5000,"&lt;&gt;Ausschüttung",Cashflows!$F$5:$F$5000,"&gt;0")))</f>
      </c>
      <c r="L193" s="25">
        <f>IF($A193="","",I193+J193)</f>
      </c>
    </row>
    <row r="194" spans="1:12" x14ac:dyDescent="0.25">
      <c r="A194" s="23">
        <f>IF(INDEX(Fonds!$A$1:$A$1000,157)="","",INDEX(Fonds!$A$1:$A$1000,157))</f>
      </c>
      <c r="B194" s="23">
        <f>IF($A194="","",INDEX(Fonds!$B$1:$B$1000,157)&amp;"")</f>
      </c>
      <c r="C194" s="23">
        <f>IF($A194="","",INDEX(Fonds!$D$1:$D$1000,157)&amp;"")</f>
      </c>
      <c r="D194" s="25">
        <f>IF($A194="","",INDEX(Fonds!$E$1:$E$1000,157))</f>
      </c>
      <c r="E194" s="25">
        <f>IF($A194="","",SUMIFS(Cashflows!$D$5:$D$5000,Cashflows!$B$5:$B$5000,$A194,Cashflows!$C$5:$C$5000,"Abruf"))</f>
      </c>
      <c r="F194" s="25">
        <f>IF($A194="","",SUMIFS(Cashflows!$D$5:$D$5000,Cashflows!$B$5:$B$5000,$A194,Cashflows!$C$5:$C$5000,"Gebühr außerhalb der Zusage")+SUMIFS(Cashflows!$D$5:$D$5000,Cashflows!$B$5:$B$5000,$A194,Cashflows!$C$5:$C$5000,"Ausgleichszins"))</f>
      </c>
      <c r="G194" s="25">
        <f>IF($A194="","",SUMIFS(Cashflows!$D$5:$D$5000,Cashflows!$B$5:$B$5000,$A194,Cashflows!$C$5:$C$5000,"Ausschüttung"))</f>
      </c>
      <c r="H194" s="25">
        <f>IF($A194="","",SUMIFS(Cashflows!$E$5:$E$5000,Cashflows!$B$5:$B$5000,$A194,Cashflows!$C$5:$C$5000,"Ausschüttung"))</f>
      </c>
      <c r="I194" s="26">
        <f>IF($A194="","",D194-E194+H194)</f>
      </c>
      <c r="J194" s="25">
        <f>IF($A194="","",SUMIFS(Cashflows!$D$5:$D$5000,Cashflows!$B$5:$B$5000,$A194,Cashflows!$G$5:$G$5000,"Angekündigt",Cashflows!$C$5:$C$5000,"&lt;&gt;Ausschüttung"))</f>
      </c>
      <c r="K194" s="27">
        <f>IF($A194="","",IF(COUNTIFS(Cashflows!$B$5:$B$5000,$A194,Cashflows!$G$5:$G$5000,"Angekündigt",Cashflows!$C$5:$C$5000,"&lt;&gt;Ausschüttung",Cashflows!$F$5:$F$5000,"&gt;0")=0,"",MINIFS(Cashflows!$F$5:$F$5000,Cashflows!$B$5:$B$5000,$A194,Cashflows!$G$5:$G$5000,"Angekündigt",Cashflows!$C$5:$C$5000,"&lt;&gt;Ausschüttung",Cashflows!$F$5:$F$5000,"&gt;0")))</f>
      </c>
      <c r="L194" s="25">
        <f>IF($A194="","",I194+J194)</f>
      </c>
    </row>
    <row r="195" spans="1:12" x14ac:dyDescent="0.25">
      <c r="A195" s="23">
        <f>IF(INDEX(Fonds!$A$1:$A$1000,158)="","",INDEX(Fonds!$A$1:$A$1000,158))</f>
      </c>
      <c r="B195" s="23">
        <f>IF($A195="","",INDEX(Fonds!$B$1:$B$1000,158)&amp;"")</f>
      </c>
      <c r="C195" s="23">
        <f>IF($A195="","",INDEX(Fonds!$D$1:$D$1000,158)&amp;"")</f>
      </c>
      <c r="D195" s="25">
        <f>IF($A195="","",INDEX(Fonds!$E$1:$E$1000,158))</f>
      </c>
      <c r="E195" s="25">
        <f>IF($A195="","",SUMIFS(Cashflows!$D$5:$D$5000,Cashflows!$B$5:$B$5000,$A195,Cashflows!$C$5:$C$5000,"Abruf"))</f>
      </c>
      <c r="F195" s="25">
        <f>IF($A195="","",SUMIFS(Cashflows!$D$5:$D$5000,Cashflows!$B$5:$B$5000,$A195,Cashflows!$C$5:$C$5000,"Gebühr außerhalb der Zusage")+SUMIFS(Cashflows!$D$5:$D$5000,Cashflows!$B$5:$B$5000,$A195,Cashflows!$C$5:$C$5000,"Ausgleichszins"))</f>
      </c>
      <c r="G195" s="25">
        <f>IF($A195="","",SUMIFS(Cashflows!$D$5:$D$5000,Cashflows!$B$5:$B$5000,$A195,Cashflows!$C$5:$C$5000,"Ausschüttung"))</f>
      </c>
      <c r="H195" s="25">
        <f>IF($A195="","",SUMIFS(Cashflows!$E$5:$E$5000,Cashflows!$B$5:$B$5000,$A195,Cashflows!$C$5:$C$5000,"Ausschüttung"))</f>
      </c>
      <c r="I195" s="26">
        <f>IF($A195="","",D195-E195+H195)</f>
      </c>
      <c r="J195" s="25">
        <f>IF($A195="","",SUMIFS(Cashflows!$D$5:$D$5000,Cashflows!$B$5:$B$5000,$A195,Cashflows!$G$5:$G$5000,"Angekündigt",Cashflows!$C$5:$C$5000,"&lt;&gt;Ausschüttung"))</f>
      </c>
      <c r="K195" s="27">
        <f>IF($A195="","",IF(COUNTIFS(Cashflows!$B$5:$B$5000,$A195,Cashflows!$G$5:$G$5000,"Angekündigt",Cashflows!$C$5:$C$5000,"&lt;&gt;Ausschüttung",Cashflows!$F$5:$F$5000,"&gt;0")=0,"",MINIFS(Cashflows!$F$5:$F$5000,Cashflows!$B$5:$B$5000,$A195,Cashflows!$G$5:$G$5000,"Angekündigt",Cashflows!$C$5:$C$5000,"&lt;&gt;Ausschüttung",Cashflows!$F$5:$F$5000,"&gt;0")))</f>
      </c>
      <c r="L195" s="25">
        <f>IF($A195="","",I195+J195)</f>
      </c>
    </row>
    <row r="196" spans="1:12" x14ac:dyDescent="0.25">
      <c r="A196" s="23">
        <f>IF(INDEX(Fonds!$A$1:$A$1000,159)="","",INDEX(Fonds!$A$1:$A$1000,159))</f>
      </c>
      <c r="B196" s="23">
        <f>IF($A196="","",INDEX(Fonds!$B$1:$B$1000,159)&amp;"")</f>
      </c>
      <c r="C196" s="23">
        <f>IF($A196="","",INDEX(Fonds!$D$1:$D$1000,159)&amp;"")</f>
      </c>
      <c r="D196" s="25">
        <f>IF($A196="","",INDEX(Fonds!$E$1:$E$1000,159))</f>
      </c>
      <c r="E196" s="25">
        <f>IF($A196="","",SUMIFS(Cashflows!$D$5:$D$5000,Cashflows!$B$5:$B$5000,$A196,Cashflows!$C$5:$C$5000,"Abruf"))</f>
      </c>
      <c r="F196" s="25">
        <f>IF($A196="","",SUMIFS(Cashflows!$D$5:$D$5000,Cashflows!$B$5:$B$5000,$A196,Cashflows!$C$5:$C$5000,"Gebühr außerhalb der Zusage")+SUMIFS(Cashflows!$D$5:$D$5000,Cashflows!$B$5:$B$5000,$A196,Cashflows!$C$5:$C$5000,"Ausgleichszins"))</f>
      </c>
      <c r="G196" s="25">
        <f>IF($A196="","",SUMIFS(Cashflows!$D$5:$D$5000,Cashflows!$B$5:$B$5000,$A196,Cashflows!$C$5:$C$5000,"Ausschüttung"))</f>
      </c>
      <c r="H196" s="25">
        <f>IF($A196="","",SUMIFS(Cashflows!$E$5:$E$5000,Cashflows!$B$5:$B$5000,$A196,Cashflows!$C$5:$C$5000,"Ausschüttung"))</f>
      </c>
      <c r="I196" s="26">
        <f>IF($A196="","",D196-E196+H196)</f>
      </c>
      <c r="J196" s="25">
        <f>IF($A196="","",SUMIFS(Cashflows!$D$5:$D$5000,Cashflows!$B$5:$B$5000,$A196,Cashflows!$G$5:$G$5000,"Angekündigt",Cashflows!$C$5:$C$5000,"&lt;&gt;Ausschüttung"))</f>
      </c>
      <c r="K196" s="27">
        <f>IF($A196="","",IF(COUNTIFS(Cashflows!$B$5:$B$5000,$A196,Cashflows!$G$5:$G$5000,"Angekündigt",Cashflows!$C$5:$C$5000,"&lt;&gt;Ausschüttung",Cashflows!$F$5:$F$5000,"&gt;0")=0,"",MINIFS(Cashflows!$F$5:$F$5000,Cashflows!$B$5:$B$5000,$A196,Cashflows!$G$5:$G$5000,"Angekündigt",Cashflows!$C$5:$C$5000,"&lt;&gt;Ausschüttung",Cashflows!$F$5:$F$5000,"&gt;0")))</f>
      </c>
      <c r="L196" s="25">
        <f>IF($A196="","",I196+J196)</f>
      </c>
    </row>
    <row r="197" spans="1:12" x14ac:dyDescent="0.25">
      <c r="A197" s="23">
        <f>IF(INDEX(Fonds!$A$1:$A$1000,160)="","",INDEX(Fonds!$A$1:$A$1000,160))</f>
      </c>
      <c r="B197" s="23">
        <f>IF($A197="","",INDEX(Fonds!$B$1:$B$1000,160)&amp;"")</f>
      </c>
      <c r="C197" s="23">
        <f>IF($A197="","",INDEX(Fonds!$D$1:$D$1000,160)&amp;"")</f>
      </c>
      <c r="D197" s="25">
        <f>IF($A197="","",INDEX(Fonds!$E$1:$E$1000,160))</f>
      </c>
      <c r="E197" s="25">
        <f>IF($A197="","",SUMIFS(Cashflows!$D$5:$D$5000,Cashflows!$B$5:$B$5000,$A197,Cashflows!$C$5:$C$5000,"Abruf"))</f>
      </c>
      <c r="F197" s="25">
        <f>IF($A197="","",SUMIFS(Cashflows!$D$5:$D$5000,Cashflows!$B$5:$B$5000,$A197,Cashflows!$C$5:$C$5000,"Gebühr außerhalb der Zusage")+SUMIFS(Cashflows!$D$5:$D$5000,Cashflows!$B$5:$B$5000,$A197,Cashflows!$C$5:$C$5000,"Ausgleichszins"))</f>
      </c>
      <c r="G197" s="25">
        <f>IF($A197="","",SUMIFS(Cashflows!$D$5:$D$5000,Cashflows!$B$5:$B$5000,$A197,Cashflows!$C$5:$C$5000,"Ausschüttung"))</f>
      </c>
      <c r="H197" s="25">
        <f>IF($A197="","",SUMIFS(Cashflows!$E$5:$E$5000,Cashflows!$B$5:$B$5000,$A197,Cashflows!$C$5:$C$5000,"Ausschüttung"))</f>
      </c>
      <c r="I197" s="26">
        <f>IF($A197="","",D197-E197+H197)</f>
      </c>
      <c r="J197" s="25">
        <f>IF($A197="","",SUMIFS(Cashflows!$D$5:$D$5000,Cashflows!$B$5:$B$5000,$A197,Cashflows!$G$5:$G$5000,"Angekündigt",Cashflows!$C$5:$C$5000,"&lt;&gt;Ausschüttung"))</f>
      </c>
      <c r="K197" s="27">
        <f>IF($A197="","",IF(COUNTIFS(Cashflows!$B$5:$B$5000,$A197,Cashflows!$G$5:$G$5000,"Angekündigt",Cashflows!$C$5:$C$5000,"&lt;&gt;Ausschüttung",Cashflows!$F$5:$F$5000,"&gt;0")=0,"",MINIFS(Cashflows!$F$5:$F$5000,Cashflows!$B$5:$B$5000,$A197,Cashflows!$G$5:$G$5000,"Angekündigt",Cashflows!$C$5:$C$5000,"&lt;&gt;Ausschüttung",Cashflows!$F$5:$F$5000,"&gt;0")))</f>
      </c>
      <c r="L197" s="25">
        <f>IF($A197="","",I197+J197)</f>
      </c>
    </row>
    <row r="198" spans="1:12" x14ac:dyDescent="0.25">
      <c r="A198" s="23">
        <f>IF(INDEX(Fonds!$A$1:$A$1000,161)="","",INDEX(Fonds!$A$1:$A$1000,161))</f>
      </c>
      <c r="B198" s="23">
        <f>IF($A198="","",INDEX(Fonds!$B$1:$B$1000,161)&amp;"")</f>
      </c>
      <c r="C198" s="23">
        <f>IF($A198="","",INDEX(Fonds!$D$1:$D$1000,161)&amp;"")</f>
      </c>
      <c r="D198" s="25">
        <f>IF($A198="","",INDEX(Fonds!$E$1:$E$1000,161))</f>
      </c>
      <c r="E198" s="25">
        <f>IF($A198="","",SUMIFS(Cashflows!$D$5:$D$5000,Cashflows!$B$5:$B$5000,$A198,Cashflows!$C$5:$C$5000,"Abruf"))</f>
      </c>
      <c r="F198" s="25">
        <f>IF($A198="","",SUMIFS(Cashflows!$D$5:$D$5000,Cashflows!$B$5:$B$5000,$A198,Cashflows!$C$5:$C$5000,"Gebühr außerhalb der Zusage")+SUMIFS(Cashflows!$D$5:$D$5000,Cashflows!$B$5:$B$5000,$A198,Cashflows!$C$5:$C$5000,"Ausgleichszins"))</f>
      </c>
      <c r="G198" s="25">
        <f>IF($A198="","",SUMIFS(Cashflows!$D$5:$D$5000,Cashflows!$B$5:$B$5000,$A198,Cashflows!$C$5:$C$5000,"Ausschüttung"))</f>
      </c>
      <c r="H198" s="25">
        <f>IF($A198="","",SUMIFS(Cashflows!$E$5:$E$5000,Cashflows!$B$5:$B$5000,$A198,Cashflows!$C$5:$C$5000,"Ausschüttung"))</f>
      </c>
      <c r="I198" s="26">
        <f>IF($A198="","",D198-E198+H198)</f>
      </c>
      <c r="J198" s="25">
        <f>IF($A198="","",SUMIFS(Cashflows!$D$5:$D$5000,Cashflows!$B$5:$B$5000,$A198,Cashflows!$G$5:$G$5000,"Angekündigt",Cashflows!$C$5:$C$5000,"&lt;&gt;Ausschüttung"))</f>
      </c>
      <c r="K198" s="27">
        <f>IF($A198="","",IF(COUNTIFS(Cashflows!$B$5:$B$5000,$A198,Cashflows!$G$5:$G$5000,"Angekündigt",Cashflows!$C$5:$C$5000,"&lt;&gt;Ausschüttung",Cashflows!$F$5:$F$5000,"&gt;0")=0,"",MINIFS(Cashflows!$F$5:$F$5000,Cashflows!$B$5:$B$5000,$A198,Cashflows!$G$5:$G$5000,"Angekündigt",Cashflows!$C$5:$C$5000,"&lt;&gt;Ausschüttung",Cashflows!$F$5:$F$5000,"&gt;0")))</f>
      </c>
      <c r="L198" s="25">
        <f>IF($A198="","",I198+J198)</f>
      </c>
    </row>
    <row r="199" spans="1:12" x14ac:dyDescent="0.25">
      <c r="A199" s="23">
        <f>IF(INDEX(Fonds!$A$1:$A$1000,162)="","",INDEX(Fonds!$A$1:$A$1000,162))</f>
      </c>
      <c r="B199" s="23">
        <f>IF($A199="","",INDEX(Fonds!$B$1:$B$1000,162)&amp;"")</f>
      </c>
      <c r="C199" s="23">
        <f>IF($A199="","",INDEX(Fonds!$D$1:$D$1000,162)&amp;"")</f>
      </c>
      <c r="D199" s="25">
        <f>IF($A199="","",INDEX(Fonds!$E$1:$E$1000,162))</f>
      </c>
      <c r="E199" s="25">
        <f>IF($A199="","",SUMIFS(Cashflows!$D$5:$D$5000,Cashflows!$B$5:$B$5000,$A199,Cashflows!$C$5:$C$5000,"Abruf"))</f>
      </c>
      <c r="F199" s="25">
        <f>IF($A199="","",SUMIFS(Cashflows!$D$5:$D$5000,Cashflows!$B$5:$B$5000,$A199,Cashflows!$C$5:$C$5000,"Gebühr außerhalb der Zusage")+SUMIFS(Cashflows!$D$5:$D$5000,Cashflows!$B$5:$B$5000,$A199,Cashflows!$C$5:$C$5000,"Ausgleichszins"))</f>
      </c>
      <c r="G199" s="25">
        <f>IF($A199="","",SUMIFS(Cashflows!$D$5:$D$5000,Cashflows!$B$5:$B$5000,$A199,Cashflows!$C$5:$C$5000,"Ausschüttung"))</f>
      </c>
      <c r="H199" s="25">
        <f>IF($A199="","",SUMIFS(Cashflows!$E$5:$E$5000,Cashflows!$B$5:$B$5000,$A199,Cashflows!$C$5:$C$5000,"Ausschüttung"))</f>
      </c>
      <c r="I199" s="26">
        <f>IF($A199="","",D199-E199+H199)</f>
      </c>
      <c r="J199" s="25">
        <f>IF($A199="","",SUMIFS(Cashflows!$D$5:$D$5000,Cashflows!$B$5:$B$5000,$A199,Cashflows!$G$5:$G$5000,"Angekündigt",Cashflows!$C$5:$C$5000,"&lt;&gt;Ausschüttung"))</f>
      </c>
      <c r="K199" s="27">
        <f>IF($A199="","",IF(COUNTIFS(Cashflows!$B$5:$B$5000,$A199,Cashflows!$G$5:$G$5000,"Angekündigt",Cashflows!$C$5:$C$5000,"&lt;&gt;Ausschüttung",Cashflows!$F$5:$F$5000,"&gt;0")=0,"",MINIFS(Cashflows!$F$5:$F$5000,Cashflows!$B$5:$B$5000,$A199,Cashflows!$G$5:$G$5000,"Angekündigt",Cashflows!$C$5:$C$5000,"&lt;&gt;Ausschüttung",Cashflows!$F$5:$F$5000,"&gt;0")))</f>
      </c>
      <c r="L199" s="25">
        <f>IF($A199="","",I199+J199)</f>
      </c>
    </row>
    <row r="200" spans="1:12" x14ac:dyDescent="0.25">
      <c r="A200" s="23">
        <f>IF(INDEX(Fonds!$A$1:$A$1000,163)="","",INDEX(Fonds!$A$1:$A$1000,163))</f>
      </c>
      <c r="B200" s="23">
        <f>IF($A200="","",INDEX(Fonds!$B$1:$B$1000,163)&amp;"")</f>
      </c>
      <c r="C200" s="23">
        <f>IF($A200="","",INDEX(Fonds!$D$1:$D$1000,163)&amp;"")</f>
      </c>
      <c r="D200" s="25">
        <f>IF($A200="","",INDEX(Fonds!$E$1:$E$1000,163))</f>
      </c>
      <c r="E200" s="25">
        <f>IF($A200="","",SUMIFS(Cashflows!$D$5:$D$5000,Cashflows!$B$5:$B$5000,$A200,Cashflows!$C$5:$C$5000,"Abruf"))</f>
      </c>
      <c r="F200" s="25">
        <f>IF($A200="","",SUMIFS(Cashflows!$D$5:$D$5000,Cashflows!$B$5:$B$5000,$A200,Cashflows!$C$5:$C$5000,"Gebühr außerhalb der Zusage")+SUMIFS(Cashflows!$D$5:$D$5000,Cashflows!$B$5:$B$5000,$A200,Cashflows!$C$5:$C$5000,"Ausgleichszins"))</f>
      </c>
      <c r="G200" s="25">
        <f>IF($A200="","",SUMIFS(Cashflows!$D$5:$D$5000,Cashflows!$B$5:$B$5000,$A200,Cashflows!$C$5:$C$5000,"Ausschüttung"))</f>
      </c>
      <c r="H200" s="25">
        <f>IF($A200="","",SUMIFS(Cashflows!$E$5:$E$5000,Cashflows!$B$5:$B$5000,$A200,Cashflows!$C$5:$C$5000,"Ausschüttung"))</f>
      </c>
      <c r="I200" s="26">
        <f>IF($A200="","",D200-E200+H200)</f>
      </c>
      <c r="J200" s="25">
        <f>IF($A200="","",SUMIFS(Cashflows!$D$5:$D$5000,Cashflows!$B$5:$B$5000,$A200,Cashflows!$G$5:$G$5000,"Angekündigt",Cashflows!$C$5:$C$5000,"&lt;&gt;Ausschüttung"))</f>
      </c>
      <c r="K200" s="27">
        <f>IF($A200="","",IF(COUNTIFS(Cashflows!$B$5:$B$5000,$A200,Cashflows!$G$5:$G$5000,"Angekündigt",Cashflows!$C$5:$C$5000,"&lt;&gt;Ausschüttung",Cashflows!$F$5:$F$5000,"&gt;0")=0,"",MINIFS(Cashflows!$F$5:$F$5000,Cashflows!$B$5:$B$5000,$A200,Cashflows!$G$5:$G$5000,"Angekündigt",Cashflows!$C$5:$C$5000,"&lt;&gt;Ausschüttung",Cashflows!$F$5:$F$5000,"&gt;0")))</f>
      </c>
      <c r="L200" s="25">
        <f>IF($A200="","",I200+J200)</f>
      </c>
    </row>
    <row r="201" spans="1:12" x14ac:dyDescent="0.25">
      <c r="A201" s="23">
        <f>IF(INDEX(Fonds!$A$1:$A$1000,164)="","",INDEX(Fonds!$A$1:$A$1000,164))</f>
      </c>
      <c r="B201" s="23">
        <f>IF($A201="","",INDEX(Fonds!$B$1:$B$1000,164)&amp;"")</f>
      </c>
      <c r="C201" s="23">
        <f>IF($A201="","",INDEX(Fonds!$D$1:$D$1000,164)&amp;"")</f>
      </c>
      <c r="D201" s="25">
        <f>IF($A201="","",INDEX(Fonds!$E$1:$E$1000,164))</f>
      </c>
      <c r="E201" s="25">
        <f>IF($A201="","",SUMIFS(Cashflows!$D$5:$D$5000,Cashflows!$B$5:$B$5000,$A201,Cashflows!$C$5:$C$5000,"Abruf"))</f>
      </c>
      <c r="F201" s="25">
        <f>IF($A201="","",SUMIFS(Cashflows!$D$5:$D$5000,Cashflows!$B$5:$B$5000,$A201,Cashflows!$C$5:$C$5000,"Gebühr außerhalb der Zusage")+SUMIFS(Cashflows!$D$5:$D$5000,Cashflows!$B$5:$B$5000,$A201,Cashflows!$C$5:$C$5000,"Ausgleichszins"))</f>
      </c>
      <c r="G201" s="25">
        <f>IF($A201="","",SUMIFS(Cashflows!$D$5:$D$5000,Cashflows!$B$5:$B$5000,$A201,Cashflows!$C$5:$C$5000,"Ausschüttung"))</f>
      </c>
      <c r="H201" s="25">
        <f>IF($A201="","",SUMIFS(Cashflows!$E$5:$E$5000,Cashflows!$B$5:$B$5000,$A201,Cashflows!$C$5:$C$5000,"Ausschüttung"))</f>
      </c>
      <c r="I201" s="26">
        <f>IF($A201="","",D201-E201+H201)</f>
      </c>
      <c r="J201" s="25">
        <f>IF($A201="","",SUMIFS(Cashflows!$D$5:$D$5000,Cashflows!$B$5:$B$5000,$A201,Cashflows!$G$5:$G$5000,"Angekündigt",Cashflows!$C$5:$C$5000,"&lt;&gt;Ausschüttung"))</f>
      </c>
      <c r="K201" s="27">
        <f>IF($A201="","",IF(COUNTIFS(Cashflows!$B$5:$B$5000,$A201,Cashflows!$G$5:$G$5000,"Angekündigt",Cashflows!$C$5:$C$5000,"&lt;&gt;Ausschüttung",Cashflows!$F$5:$F$5000,"&gt;0")=0,"",MINIFS(Cashflows!$F$5:$F$5000,Cashflows!$B$5:$B$5000,$A201,Cashflows!$G$5:$G$5000,"Angekündigt",Cashflows!$C$5:$C$5000,"&lt;&gt;Ausschüttung",Cashflows!$F$5:$F$5000,"&gt;0")))</f>
      </c>
      <c r="L201" s="25">
        <f>IF($A201="","",I201+J201)</f>
      </c>
    </row>
    <row r="202" spans="1:12" x14ac:dyDescent="0.25">
      <c r="A202" s="23">
        <f>IF(INDEX(Fonds!$A$1:$A$1000,165)="","",INDEX(Fonds!$A$1:$A$1000,165))</f>
      </c>
      <c r="B202" s="23">
        <f>IF($A202="","",INDEX(Fonds!$B$1:$B$1000,165)&amp;"")</f>
      </c>
      <c r="C202" s="23">
        <f>IF($A202="","",INDEX(Fonds!$D$1:$D$1000,165)&amp;"")</f>
      </c>
      <c r="D202" s="25">
        <f>IF($A202="","",INDEX(Fonds!$E$1:$E$1000,165))</f>
      </c>
      <c r="E202" s="25">
        <f>IF($A202="","",SUMIFS(Cashflows!$D$5:$D$5000,Cashflows!$B$5:$B$5000,$A202,Cashflows!$C$5:$C$5000,"Abruf"))</f>
      </c>
      <c r="F202" s="25">
        <f>IF($A202="","",SUMIFS(Cashflows!$D$5:$D$5000,Cashflows!$B$5:$B$5000,$A202,Cashflows!$C$5:$C$5000,"Gebühr außerhalb der Zusage")+SUMIFS(Cashflows!$D$5:$D$5000,Cashflows!$B$5:$B$5000,$A202,Cashflows!$C$5:$C$5000,"Ausgleichszins"))</f>
      </c>
      <c r="G202" s="25">
        <f>IF($A202="","",SUMIFS(Cashflows!$D$5:$D$5000,Cashflows!$B$5:$B$5000,$A202,Cashflows!$C$5:$C$5000,"Ausschüttung"))</f>
      </c>
      <c r="H202" s="25">
        <f>IF($A202="","",SUMIFS(Cashflows!$E$5:$E$5000,Cashflows!$B$5:$B$5000,$A202,Cashflows!$C$5:$C$5000,"Ausschüttung"))</f>
      </c>
      <c r="I202" s="26">
        <f>IF($A202="","",D202-E202+H202)</f>
      </c>
      <c r="J202" s="25">
        <f>IF($A202="","",SUMIFS(Cashflows!$D$5:$D$5000,Cashflows!$B$5:$B$5000,$A202,Cashflows!$G$5:$G$5000,"Angekündigt",Cashflows!$C$5:$C$5000,"&lt;&gt;Ausschüttung"))</f>
      </c>
      <c r="K202" s="27">
        <f>IF($A202="","",IF(COUNTIFS(Cashflows!$B$5:$B$5000,$A202,Cashflows!$G$5:$G$5000,"Angekündigt",Cashflows!$C$5:$C$5000,"&lt;&gt;Ausschüttung",Cashflows!$F$5:$F$5000,"&gt;0")=0,"",MINIFS(Cashflows!$F$5:$F$5000,Cashflows!$B$5:$B$5000,$A202,Cashflows!$G$5:$G$5000,"Angekündigt",Cashflows!$C$5:$C$5000,"&lt;&gt;Ausschüttung",Cashflows!$F$5:$F$5000,"&gt;0")))</f>
      </c>
      <c r="L202" s="25">
        <f>IF($A202="","",I202+J202)</f>
      </c>
    </row>
    <row r="203" spans="1:12" x14ac:dyDescent="0.25">
      <c r="A203" s="23">
        <f>IF(INDEX(Fonds!$A$1:$A$1000,166)="","",INDEX(Fonds!$A$1:$A$1000,166))</f>
      </c>
      <c r="B203" s="23">
        <f>IF($A203="","",INDEX(Fonds!$B$1:$B$1000,166)&amp;"")</f>
      </c>
      <c r="C203" s="23">
        <f>IF($A203="","",INDEX(Fonds!$D$1:$D$1000,166)&amp;"")</f>
      </c>
      <c r="D203" s="25">
        <f>IF($A203="","",INDEX(Fonds!$E$1:$E$1000,166))</f>
      </c>
      <c r="E203" s="25">
        <f>IF($A203="","",SUMIFS(Cashflows!$D$5:$D$5000,Cashflows!$B$5:$B$5000,$A203,Cashflows!$C$5:$C$5000,"Abruf"))</f>
      </c>
      <c r="F203" s="25">
        <f>IF($A203="","",SUMIFS(Cashflows!$D$5:$D$5000,Cashflows!$B$5:$B$5000,$A203,Cashflows!$C$5:$C$5000,"Gebühr außerhalb der Zusage")+SUMIFS(Cashflows!$D$5:$D$5000,Cashflows!$B$5:$B$5000,$A203,Cashflows!$C$5:$C$5000,"Ausgleichszins"))</f>
      </c>
      <c r="G203" s="25">
        <f>IF($A203="","",SUMIFS(Cashflows!$D$5:$D$5000,Cashflows!$B$5:$B$5000,$A203,Cashflows!$C$5:$C$5000,"Ausschüttung"))</f>
      </c>
      <c r="H203" s="25">
        <f>IF($A203="","",SUMIFS(Cashflows!$E$5:$E$5000,Cashflows!$B$5:$B$5000,$A203,Cashflows!$C$5:$C$5000,"Ausschüttung"))</f>
      </c>
      <c r="I203" s="26">
        <f>IF($A203="","",D203-E203+H203)</f>
      </c>
      <c r="J203" s="25">
        <f>IF($A203="","",SUMIFS(Cashflows!$D$5:$D$5000,Cashflows!$B$5:$B$5000,$A203,Cashflows!$G$5:$G$5000,"Angekündigt",Cashflows!$C$5:$C$5000,"&lt;&gt;Ausschüttung"))</f>
      </c>
      <c r="K203" s="27">
        <f>IF($A203="","",IF(COUNTIFS(Cashflows!$B$5:$B$5000,$A203,Cashflows!$G$5:$G$5000,"Angekündigt",Cashflows!$C$5:$C$5000,"&lt;&gt;Ausschüttung",Cashflows!$F$5:$F$5000,"&gt;0")=0,"",MINIFS(Cashflows!$F$5:$F$5000,Cashflows!$B$5:$B$5000,$A203,Cashflows!$G$5:$G$5000,"Angekündigt",Cashflows!$C$5:$C$5000,"&lt;&gt;Ausschüttung",Cashflows!$F$5:$F$5000,"&gt;0")))</f>
      </c>
      <c r="L203" s="25">
        <f>IF($A203="","",I203+J203)</f>
      </c>
    </row>
    <row r="204" spans="1:12" x14ac:dyDescent="0.25">
      <c r="A204" s="23">
        <f>IF(INDEX(Fonds!$A$1:$A$1000,167)="","",INDEX(Fonds!$A$1:$A$1000,167))</f>
      </c>
      <c r="B204" s="23">
        <f>IF($A204="","",INDEX(Fonds!$B$1:$B$1000,167)&amp;"")</f>
      </c>
      <c r="C204" s="23">
        <f>IF($A204="","",INDEX(Fonds!$D$1:$D$1000,167)&amp;"")</f>
      </c>
      <c r="D204" s="25">
        <f>IF($A204="","",INDEX(Fonds!$E$1:$E$1000,167))</f>
      </c>
      <c r="E204" s="25">
        <f>IF($A204="","",SUMIFS(Cashflows!$D$5:$D$5000,Cashflows!$B$5:$B$5000,$A204,Cashflows!$C$5:$C$5000,"Abruf"))</f>
      </c>
      <c r="F204" s="25">
        <f>IF($A204="","",SUMIFS(Cashflows!$D$5:$D$5000,Cashflows!$B$5:$B$5000,$A204,Cashflows!$C$5:$C$5000,"Gebühr außerhalb der Zusage")+SUMIFS(Cashflows!$D$5:$D$5000,Cashflows!$B$5:$B$5000,$A204,Cashflows!$C$5:$C$5000,"Ausgleichszins"))</f>
      </c>
      <c r="G204" s="25">
        <f>IF($A204="","",SUMIFS(Cashflows!$D$5:$D$5000,Cashflows!$B$5:$B$5000,$A204,Cashflows!$C$5:$C$5000,"Ausschüttung"))</f>
      </c>
      <c r="H204" s="25">
        <f>IF($A204="","",SUMIFS(Cashflows!$E$5:$E$5000,Cashflows!$B$5:$B$5000,$A204,Cashflows!$C$5:$C$5000,"Ausschüttung"))</f>
      </c>
      <c r="I204" s="26">
        <f>IF($A204="","",D204-E204+H204)</f>
      </c>
      <c r="J204" s="25">
        <f>IF($A204="","",SUMIFS(Cashflows!$D$5:$D$5000,Cashflows!$B$5:$B$5000,$A204,Cashflows!$G$5:$G$5000,"Angekündigt",Cashflows!$C$5:$C$5000,"&lt;&gt;Ausschüttung"))</f>
      </c>
      <c r="K204" s="27">
        <f>IF($A204="","",IF(COUNTIFS(Cashflows!$B$5:$B$5000,$A204,Cashflows!$G$5:$G$5000,"Angekündigt",Cashflows!$C$5:$C$5000,"&lt;&gt;Ausschüttung",Cashflows!$F$5:$F$5000,"&gt;0")=0,"",MINIFS(Cashflows!$F$5:$F$5000,Cashflows!$B$5:$B$5000,$A204,Cashflows!$G$5:$G$5000,"Angekündigt",Cashflows!$C$5:$C$5000,"&lt;&gt;Ausschüttung",Cashflows!$F$5:$F$5000,"&gt;0")))</f>
      </c>
      <c r="L204" s="25">
        <f>IF($A204="","",I204+J204)</f>
      </c>
    </row>
    <row r="205" spans="1:12" x14ac:dyDescent="0.25">
      <c r="A205" s="23">
        <f>IF(INDEX(Fonds!$A$1:$A$1000,168)="","",INDEX(Fonds!$A$1:$A$1000,168))</f>
      </c>
      <c r="B205" s="23">
        <f>IF($A205="","",INDEX(Fonds!$B$1:$B$1000,168)&amp;"")</f>
      </c>
      <c r="C205" s="23">
        <f>IF($A205="","",INDEX(Fonds!$D$1:$D$1000,168)&amp;"")</f>
      </c>
      <c r="D205" s="25">
        <f>IF($A205="","",INDEX(Fonds!$E$1:$E$1000,168))</f>
      </c>
      <c r="E205" s="25">
        <f>IF($A205="","",SUMIFS(Cashflows!$D$5:$D$5000,Cashflows!$B$5:$B$5000,$A205,Cashflows!$C$5:$C$5000,"Abruf"))</f>
      </c>
      <c r="F205" s="25">
        <f>IF($A205="","",SUMIFS(Cashflows!$D$5:$D$5000,Cashflows!$B$5:$B$5000,$A205,Cashflows!$C$5:$C$5000,"Gebühr außerhalb der Zusage")+SUMIFS(Cashflows!$D$5:$D$5000,Cashflows!$B$5:$B$5000,$A205,Cashflows!$C$5:$C$5000,"Ausgleichszins"))</f>
      </c>
      <c r="G205" s="25">
        <f>IF($A205="","",SUMIFS(Cashflows!$D$5:$D$5000,Cashflows!$B$5:$B$5000,$A205,Cashflows!$C$5:$C$5000,"Ausschüttung"))</f>
      </c>
      <c r="H205" s="25">
        <f>IF($A205="","",SUMIFS(Cashflows!$E$5:$E$5000,Cashflows!$B$5:$B$5000,$A205,Cashflows!$C$5:$C$5000,"Ausschüttung"))</f>
      </c>
      <c r="I205" s="26">
        <f>IF($A205="","",D205-E205+H205)</f>
      </c>
      <c r="J205" s="25">
        <f>IF($A205="","",SUMIFS(Cashflows!$D$5:$D$5000,Cashflows!$B$5:$B$5000,$A205,Cashflows!$G$5:$G$5000,"Angekündigt",Cashflows!$C$5:$C$5000,"&lt;&gt;Ausschüttung"))</f>
      </c>
      <c r="K205" s="27">
        <f>IF($A205="","",IF(COUNTIFS(Cashflows!$B$5:$B$5000,$A205,Cashflows!$G$5:$G$5000,"Angekündigt",Cashflows!$C$5:$C$5000,"&lt;&gt;Ausschüttung",Cashflows!$F$5:$F$5000,"&gt;0")=0,"",MINIFS(Cashflows!$F$5:$F$5000,Cashflows!$B$5:$B$5000,$A205,Cashflows!$G$5:$G$5000,"Angekündigt",Cashflows!$C$5:$C$5000,"&lt;&gt;Ausschüttung",Cashflows!$F$5:$F$5000,"&gt;0")))</f>
      </c>
      <c r="L205" s="25">
        <f>IF($A205="","",I205+J205)</f>
      </c>
    </row>
    <row r="206" spans="1:12" x14ac:dyDescent="0.25">
      <c r="A206" s="23">
        <f>IF(INDEX(Fonds!$A$1:$A$1000,169)="","",INDEX(Fonds!$A$1:$A$1000,169))</f>
      </c>
      <c r="B206" s="23">
        <f>IF($A206="","",INDEX(Fonds!$B$1:$B$1000,169)&amp;"")</f>
      </c>
      <c r="C206" s="23">
        <f>IF($A206="","",INDEX(Fonds!$D$1:$D$1000,169)&amp;"")</f>
      </c>
      <c r="D206" s="25">
        <f>IF($A206="","",INDEX(Fonds!$E$1:$E$1000,169))</f>
      </c>
      <c r="E206" s="25">
        <f>IF($A206="","",SUMIFS(Cashflows!$D$5:$D$5000,Cashflows!$B$5:$B$5000,$A206,Cashflows!$C$5:$C$5000,"Abruf"))</f>
      </c>
      <c r="F206" s="25">
        <f>IF($A206="","",SUMIFS(Cashflows!$D$5:$D$5000,Cashflows!$B$5:$B$5000,$A206,Cashflows!$C$5:$C$5000,"Gebühr außerhalb der Zusage")+SUMIFS(Cashflows!$D$5:$D$5000,Cashflows!$B$5:$B$5000,$A206,Cashflows!$C$5:$C$5000,"Ausgleichszins"))</f>
      </c>
      <c r="G206" s="25">
        <f>IF($A206="","",SUMIFS(Cashflows!$D$5:$D$5000,Cashflows!$B$5:$B$5000,$A206,Cashflows!$C$5:$C$5000,"Ausschüttung"))</f>
      </c>
      <c r="H206" s="25">
        <f>IF($A206="","",SUMIFS(Cashflows!$E$5:$E$5000,Cashflows!$B$5:$B$5000,$A206,Cashflows!$C$5:$C$5000,"Ausschüttung"))</f>
      </c>
      <c r="I206" s="26">
        <f>IF($A206="","",D206-E206+H206)</f>
      </c>
      <c r="J206" s="25">
        <f>IF($A206="","",SUMIFS(Cashflows!$D$5:$D$5000,Cashflows!$B$5:$B$5000,$A206,Cashflows!$G$5:$G$5000,"Angekündigt",Cashflows!$C$5:$C$5000,"&lt;&gt;Ausschüttung"))</f>
      </c>
      <c r="K206" s="27">
        <f>IF($A206="","",IF(COUNTIFS(Cashflows!$B$5:$B$5000,$A206,Cashflows!$G$5:$G$5000,"Angekündigt",Cashflows!$C$5:$C$5000,"&lt;&gt;Ausschüttung",Cashflows!$F$5:$F$5000,"&gt;0")=0,"",MINIFS(Cashflows!$F$5:$F$5000,Cashflows!$B$5:$B$5000,$A206,Cashflows!$G$5:$G$5000,"Angekündigt",Cashflows!$C$5:$C$5000,"&lt;&gt;Ausschüttung",Cashflows!$F$5:$F$5000,"&gt;0")))</f>
      </c>
      <c r="L206" s="25">
        <f>IF($A206="","",I206+J206)</f>
      </c>
    </row>
    <row r="207" spans="1:12" x14ac:dyDescent="0.25">
      <c r="A207" s="23">
        <f>IF(INDEX(Fonds!$A$1:$A$1000,170)="","",INDEX(Fonds!$A$1:$A$1000,170))</f>
      </c>
      <c r="B207" s="23">
        <f>IF($A207="","",INDEX(Fonds!$B$1:$B$1000,170)&amp;"")</f>
      </c>
      <c r="C207" s="23">
        <f>IF($A207="","",INDEX(Fonds!$D$1:$D$1000,170)&amp;"")</f>
      </c>
      <c r="D207" s="25">
        <f>IF($A207="","",INDEX(Fonds!$E$1:$E$1000,170))</f>
      </c>
      <c r="E207" s="25">
        <f>IF($A207="","",SUMIFS(Cashflows!$D$5:$D$5000,Cashflows!$B$5:$B$5000,$A207,Cashflows!$C$5:$C$5000,"Abruf"))</f>
      </c>
      <c r="F207" s="25">
        <f>IF($A207="","",SUMIFS(Cashflows!$D$5:$D$5000,Cashflows!$B$5:$B$5000,$A207,Cashflows!$C$5:$C$5000,"Gebühr außerhalb der Zusage")+SUMIFS(Cashflows!$D$5:$D$5000,Cashflows!$B$5:$B$5000,$A207,Cashflows!$C$5:$C$5000,"Ausgleichszins"))</f>
      </c>
      <c r="G207" s="25">
        <f>IF($A207="","",SUMIFS(Cashflows!$D$5:$D$5000,Cashflows!$B$5:$B$5000,$A207,Cashflows!$C$5:$C$5000,"Ausschüttung"))</f>
      </c>
      <c r="H207" s="25">
        <f>IF($A207="","",SUMIFS(Cashflows!$E$5:$E$5000,Cashflows!$B$5:$B$5000,$A207,Cashflows!$C$5:$C$5000,"Ausschüttung"))</f>
      </c>
      <c r="I207" s="26">
        <f>IF($A207="","",D207-E207+H207)</f>
      </c>
      <c r="J207" s="25">
        <f>IF($A207="","",SUMIFS(Cashflows!$D$5:$D$5000,Cashflows!$B$5:$B$5000,$A207,Cashflows!$G$5:$G$5000,"Angekündigt",Cashflows!$C$5:$C$5000,"&lt;&gt;Ausschüttung"))</f>
      </c>
      <c r="K207" s="27">
        <f>IF($A207="","",IF(COUNTIFS(Cashflows!$B$5:$B$5000,$A207,Cashflows!$G$5:$G$5000,"Angekündigt",Cashflows!$C$5:$C$5000,"&lt;&gt;Ausschüttung",Cashflows!$F$5:$F$5000,"&gt;0")=0,"",MINIFS(Cashflows!$F$5:$F$5000,Cashflows!$B$5:$B$5000,$A207,Cashflows!$G$5:$G$5000,"Angekündigt",Cashflows!$C$5:$C$5000,"&lt;&gt;Ausschüttung",Cashflows!$F$5:$F$5000,"&gt;0")))</f>
      </c>
      <c r="L207" s="25">
        <f>IF($A207="","",I207+J207)</f>
      </c>
    </row>
    <row r="208" spans="1:12" x14ac:dyDescent="0.25">
      <c r="A208" s="23">
        <f>IF(INDEX(Fonds!$A$1:$A$1000,171)="","",INDEX(Fonds!$A$1:$A$1000,171))</f>
      </c>
      <c r="B208" s="23">
        <f>IF($A208="","",INDEX(Fonds!$B$1:$B$1000,171)&amp;"")</f>
      </c>
      <c r="C208" s="23">
        <f>IF($A208="","",INDEX(Fonds!$D$1:$D$1000,171)&amp;"")</f>
      </c>
      <c r="D208" s="25">
        <f>IF($A208="","",INDEX(Fonds!$E$1:$E$1000,171))</f>
      </c>
      <c r="E208" s="25">
        <f>IF($A208="","",SUMIFS(Cashflows!$D$5:$D$5000,Cashflows!$B$5:$B$5000,$A208,Cashflows!$C$5:$C$5000,"Abruf"))</f>
      </c>
      <c r="F208" s="25">
        <f>IF($A208="","",SUMIFS(Cashflows!$D$5:$D$5000,Cashflows!$B$5:$B$5000,$A208,Cashflows!$C$5:$C$5000,"Gebühr außerhalb der Zusage")+SUMIFS(Cashflows!$D$5:$D$5000,Cashflows!$B$5:$B$5000,$A208,Cashflows!$C$5:$C$5000,"Ausgleichszins"))</f>
      </c>
      <c r="G208" s="25">
        <f>IF($A208="","",SUMIFS(Cashflows!$D$5:$D$5000,Cashflows!$B$5:$B$5000,$A208,Cashflows!$C$5:$C$5000,"Ausschüttung"))</f>
      </c>
      <c r="H208" s="25">
        <f>IF($A208="","",SUMIFS(Cashflows!$E$5:$E$5000,Cashflows!$B$5:$B$5000,$A208,Cashflows!$C$5:$C$5000,"Ausschüttung"))</f>
      </c>
      <c r="I208" s="26">
        <f>IF($A208="","",D208-E208+H208)</f>
      </c>
      <c r="J208" s="25">
        <f>IF($A208="","",SUMIFS(Cashflows!$D$5:$D$5000,Cashflows!$B$5:$B$5000,$A208,Cashflows!$G$5:$G$5000,"Angekündigt",Cashflows!$C$5:$C$5000,"&lt;&gt;Ausschüttung"))</f>
      </c>
      <c r="K208" s="27">
        <f>IF($A208="","",IF(COUNTIFS(Cashflows!$B$5:$B$5000,$A208,Cashflows!$G$5:$G$5000,"Angekündigt",Cashflows!$C$5:$C$5000,"&lt;&gt;Ausschüttung",Cashflows!$F$5:$F$5000,"&gt;0")=0,"",MINIFS(Cashflows!$F$5:$F$5000,Cashflows!$B$5:$B$5000,$A208,Cashflows!$G$5:$G$5000,"Angekündigt",Cashflows!$C$5:$C$5000,"&lt;&gt;Ausschüttung",Cashflows!$F$5:$F$5000,"&gt;0")))</f>
      </c>
      <c r="L208" s="25">
        <f>IF($A208="","",I208+J208)</f>
      </c>
    </row>
    <row r="209" spans="1:12" x14ac:dyDescent="0.25">
      <c r="A209" s="23">
        <f>IF(INDEX(Fonds!$A$1:$A$1000,172)="","",INDEX(Fonds!$A$1:$A$1000,172))</f>
      </c>
      <c r="B209" s="23">
        <f>IF($A209="","",INDEX(Fonds!$B$1:$B$1000,172)&amp;"")</f>
      </c>
      <c r="C209" s="23">
        <f>IF($A209="","",INDEX(Fonds!$D$1:$D$1000,172)&amp;"")</f>
      </c>
      <c r="D209" s="25">
        <f>IF($A209="","",INDEX(Fonds!$E$1:$E$1000,172))</f>
      </c>
      <c r="E209" s="25">
        <f>IF($A209="","",SUMIFS(Cashflows!$D$5:$D$5000,Cashflows!$B$5:$B$5000,$A209,Cashflows!$C$5:$C$5000,"Abruf"))</f>
      </c>
      <c r="F209" s="25">
        <f>IF($A209="","",SUMIFS(Cashflows!$D$5:$D$5000,Cashflows!$B$5:$B$5000,$A209,Cashflows!$C$5:$C$5000,"Gebühr außerhalb der Zusage")+SUMIFS(Cashflows!$D$5:$D$5000,Cashflows!$B$5:$B$5000,$A209,Cashflows!$C$5:$C$5000,"Ausgleichszins"))</f>
      </c>
      <c r="G209" s="25">
        <f>IF($A209="","",SUMIFS(Cashflows!$D$5:$D$5000,Cashflows!$B$5:$B$5000,$A209,Cashflows!$C$5:$C$5000,"Ausschüttung"))</f>
      </c>
      <c r="H209" s="25">
        <f>IF($A209="","",SUMIFS(Cashflows!$E$5:$E$5000,Cashflows!$B$5:$B$5000,$A209,Cashflows!$C$5:$C$5000,"Ausschüttung"))</f>
      </c>
      <c r="I209" s="26">
        <f>IF($A209="","",D209-E209+H209)</f>
      </c>
      <c r="J209" s="25">
        <f>IF($A209="","",SUMIFS(Cashflows!$D$5:$D$5000,Cashflows!$B$5:$B$5000,$A209,Cashflows!$G$5:$G$5000,"Angekündigt",Cashflows!$C$5:$C$5000,"&lt;&gt;Ausschüttung"))</f>
      </c>
      <c r="K209" s="27">
        <f>IF($A209="","",IF(COUNTIFS(Cashflows!$B$5:$B$5000,$A209,Cashflows!$G$5:$G$5000,"Angekündigt",Cashflows!$C$5:$C$5000,"&lt;&gt;Ausschüttung",Cashflows!$F$5:$F$5000,"&gt;0")=0,"",MINIFS(Cashflows!$F$5:$F$5000,Cashflows!$B$5:$B$5000,$A209,Cashflows!$G$5:$G$5000,"Angekündigt",Cashflows!$C$5:$C$5000,"&lt;&gt;Ausschüttung",Cashflows!$F$5:$F$5000,"&gt;0")))</f>
      </c>
      <c r="L209" s="25">
        <f>IF($A209="","",I209+J209)</f>
      </c>
    </row>
    <row r="210" spans="1:12" x14ac:dyDescent="0.25">
      <c r="A210" s="23">
        <f>IF(INDEX(Fonds!$A$1:$A$1000,173)="","",INDEX(Fonds!$A$1:$A$1000,173))</f>
      </c>
      <c r="B210" s="23">
        <f>IF($A210="","",INDEX(Fonds!$B$1:$B$1000,173)&amp;"")</f>
      </c>
      <c r="C210" s="23">
        <f>IF($A210="","",INDEX(Fonds!$D$1:$D$1000,173)&amp;"")</f>
      </c>
      <c r="D210" s="25">
        <f>IF($A210="","",INDEX(Fonds!$E$1:$E$1000,173))</f>
      </c>
      <c r="E210" s="25">
        <f>IF($A210="","",SUMIFS(Cashflows!$D$5:$D$5000,Cashflows!$B$5:$B$5000,$A210,Cashflows!$C$5:$C$5000,"Abruf"))</f>
      </c>
      <c r="F210" s="25">
        <f>IF($A210="","",SUMIFS(Cashflows!$D$5:$D$5000,Cashflows!$B$5:$B$5000,$A210,Cashflows!$C$5:$C$5000,"Gebühr außerhalb der Zusage")+SUMIFS(Cashflows!$D$5:$D$5000,Cashflows!$B$5:$B$5000,$A210,Cashflows!$C$5:$C$5000,"Ausgleichszins"))</f>
      </c>
      <c r="G210" s="25">
        <f>IF($A210="","",SUMIFS(Cashflows!$D$5:$D$5000,Cashflows!$B$5:$B$5000,$A210,Cashflows!$C$5:$C$5000,"Ausschüttung"))</f>
      </c>
      <c r="H210" s="25">
        <f>IF($A210="","",SUMIFS(Cashflows!$E$5:$E$5000,Cashflows!$B$5:$B$5000,$A210,Cashflows!$C$5:$C$5000,"Ausschüttung"))</f>
      </c>
      <c r="I210" s="26">
        <f>IF($A210="","",D210-E210+H210)</f>
      </c>
      <c r="J210" s="25">
        <f>IF($A210="","",SUMIFS(Cashflows!$D$5:$D$5000,Cashflows!$B$5:$B$5000,$A210,Cashflows!$G$5:$G$5000,"Angekündigt",Cashflows!$C$5:$C$5000,"&lt;&gt;Ausschüttung"))</f>
      </c>
      <c r="K210" s="27">
        <f>IF($A210="","",IF(COUNTIFS(Cashflows!$B$5:$B$5000,$A210,Cashflows!$G$5:$G$5000,"Angekündigt",Cashflows!$C$5:$C$5000,"&lt;&gt;Ausschüttung",Cashflows!$F$5:$F$5000,"&gt;0")=0,"",MINIFS(Cashflows!$F$5:$F$5000,Cashflows!$B$5:$B$5000,$A210,Cashflows!$G$5:$G$5000,"Angekündigt",Cashflows!$C$5:$C$5000,"&lt;&gt;Ausschüttung",Cashflows!$F$5:$F$5000,"&gt;0")))</f>
      </c>
      <c r="L210" s="25">
        <f>IF($A210="","",I210+J210)</f>
      </c>
    </row>
    <row r="211" spans="1:12" x14ac:dyDescent="0.25">
      <c r="A211" s="23">
        <f>IF(INDEX(Fonds!$A$1:$A$1000,174)="","",INDEX(Fonds!$A$1:$A$1000,174))</f>
      </c>
      <c r="B211" s="23">
        <f>IF($A211="","",INDEX(Fonds!$B$1:$B$1000,174)&amp;"")</f>
      </c>
      <c r="C211" s="23">
        <f>IF($A211="","",INDEX(Fonds!$D$1:$D$1000,174)&amp;"")</f>
      </c>
      <c r="D211" s="25">
        <f>IF($A211="","",INDEX(Fonds!$E$1:$E$1000,174))</f>
      </c>
      <c r="E211" s="25">
        <f>IF($A211="","",SUMIFS(Cashflows!$D$5:$D$5000,Cashflows!$B$5:$B$5000,$A211,Cashflows!$C$5:$C$5000,"Abruf"))</f>
      </c>
      <c r="F211" s="25">
        <f>IF($A211="","",SUMIFS(Cashflows!$D$5:$D$5000,Cashflows!$B$5:$B$5000,$A211,Cashflows!$C$5:$C$5000,"Gebühr außerhalb der Zusage")+SUMIFS(Cashflows!$D$5:$D$5000,Cashflows!$B$5:$B$5000,$A211,Cashflows!$C$5:$C$5000,"Ausgleichszins"))</f>
      </c>
      <c r="G211" s="25">
        <f>IF($A211="","",SUMIFS(Cashflows!$D$5:$D$5000,Cashflows!$B$5:$B$5000,$A211,Cashflows!$C$5:$C$5000,"Ausschüttung"))</f>
      </c>
      <c r="H211" s="25">
        <f>IF($A211="","",SUMIFS(Cashflows!$E$5:$E$5000,Cashflows!$B$5:$B$5000,$A211,Cashflows!$C$5:$C$5000,"Ausschüttung"))</f>
      </c>
      <c r="I211" s="26">
        <f>IF($A211="","",D211-E211+H211)</f>
      </c>
      <c r="J211" s="25">
        <f>IF($A211="","",SUMIFS(Cashflows!$D$5:$D$5000,Cashflows!$B$5:$B$5000,$A211,Cashflows!$G$5:$G$5000,"Angekündigt",Cashflows!$C$5:$C$5000,"&lt;&gt;Ausschüttung"))</f>
      </c>
      <c r="K211" s="27">
        <f>IF($A211="","",IF(COUNTIFS(Cashflows!$B$5:$B$5000,$A211,Cashflows!$G$5:$G$5000,"Angekündigt",Cashflows!$C$5:$C$5000,"&lt;&gt;Ausschüttung",Cashflows!$F$5:$F$5000,"&gt;0")=0,"",MINIFS(Cashflows!$F$5:$F$5000,Cashflows!$B$5:$B$5000,$A211,Cashflows!$G$5:$G$5000,"Angekündigt",Cashflows!$C$5:$C$5000,"&lt;&gt;Ausschüttung",Cashflows!$F$5:$F$5000,"&gt;0")))</f>
      </c>
      <c r="L211" s="25">
        <f>IF($A211="","",I211+J211)</f>
      </c>
    </row>
    <row r="212" spans="1:12" x14ac:dyDescent="0.25">
      <c r="A212" s="23">
        <f>IF(INDEX(Fonds!$A$1:$A$1000,175)="","",INDEX(Fonds!$A$1:$A$1000,175))</f>
      </c>
      <c r="B212" s="23">
        <f>IF($A212="","",INDEX(Fonds!$B$1:$B$1000,175)&amp;"")</f>
      </c>
      <c r="C212" s="23">
        <f>IF($A212="","",INDEX(Fonds!$D$1:$D$1000,175)&amp;"")</f>
      </c>
      <c r="D212" s="25">
        <f>IF($A212="","",INDEX(Fonds!$E$1:$E$1000,175))</f>
      </c>
      <c r="E212" s="25">
        <f>IF($A212="","",SUMIFS(Cashflows!$D$5:$D$5000,Cashflows!$B$5:$B$5000,$A212,Cashflows!$C$5:$C$5000,"Abruf"))</f>
      </c>
      <c r="F212" s="25">
        <f>IF($A212="","",SUMIFS(Cashflows!$D$5:$D$5000,Cashflows!$B$5:$B$5000,$A212,Cashflows!$C$5:$C$5000,"Gebühr außerhalb der Zusage")+SUMIFS(Cashflows!$D$5:$D$5000,Cashflows!$B$5:$B$5000,$A212,Cashflows!$C$5:$C$5000,"Ausgleichszins"))</f>
      </c>
      <c r="G212" s="25">
        <f>IF($A212="","",SUMIFS(Cashflows!$D$5:$D$5000,Cashflows!$B$5:$B$5000,$A212,Cashflows!$C$5:$C$5000,"Ausschüttung"))</f>
      </c>
      <c r="H212" s="25">
        <f>IF($A212="","",SUMIFS(Cashflows!$E$5:$E$5000,Cashflows!$B$5:$B$5000,$A212,Cashflows!$C$5:$C$5000,"Ausschüttung"))</f>
      </c>
      <c r="I212" s="26">
        <f>IF($A212="","",D212-E212+H212)</f>
      </c>
      <c r="J212" s="25">
        <f>IF($A212="","",SUMIFS(Cashflows!$D$5:$D$5000,Cashflows!$B$5:$B$5000,$A212,Cashflows!$G$5:$G$5000,"Angekündigt",Cashflows!$C$5:$C$5000,"&lt;&gt;Ausschüttung"))</f>
      </c>
      <c r="K212" s="27">
        <f>IF($A212="","",IF(COUNTIFS(Cashflows!$B$5:$B$5000,$A212,Cashflows!$G$5:$G$5000,"Angekündigt",Cashflows!$C$5:$C$5000,"&lt;&gt;Ausschüttung",Cashflows!$F$5:$F$5000,"&gt;0")=0,"",MINIFS(Cashflows!$F$5:$F$5000,Cashflows!$B$5:$B$5000,$A212,Cashflows!$G$5:$G$5000,"Angekündigt",Cashflows!$C$5:$C$5000,"&lt;&gt;Ausschüttung",Cashflows!$F$5:$F$5000,"&gt;0")))</f>
      </c>
      <c r="L212" s="25">
        <f>IF($A212="","",I212+J212)</f>
      </c>
    </row>
    <row r="213" spans="1:12" x14ac:dyDescent="0.25">
      <c r="A213" s="23">
        <f>IF(INDEX(Fonds!$A$1:$A$1000,176)="","",INDEX(Fonds!$A$1:$A$1000,176))</f>
      </c>
      <c r="B213" s="23">
        <f>IF($A213="","",INDEX(Fonds!$B$1:$B$1000,176)&amp;"")</f>
      </c>
      <c r="C213" s="23">
        <f>IF($A213="","",INDEX(Fonds!$D$1:$D$1000,176)&amp;"")</f>
      </c>
      <c r="D213" s="25">
        <f>IF($A213="","",INDEX(Fonds!$E$1:$E$1000,176))</f>
      </c>
      <c r="E213" s="25">
        <f>IF($A213="","",SUMIFS(Cashflows!$D$5:$D$5000,Cashflows!$B$5:$B$5000,$A213,Cashflows!$C$5:$C$5000,"Abruf"))</f>
      </c>
      <c r="F213" s="25">
        <f>IF($A213="","",SUMIFS(Cashflows!$D$5:$D$5000,Cashflows!$B$5:$B$5000,$A213,Cashflows!$C$5:$C$5000,"Gebühr außerhalb der Zusage")+SUMIFS(Cashflows!$D$5:$D$5000,Cashflows!$B$5:$B$5000,$A213,Cashflows!$C$5:$C$5000,"Ausgleichszins"))</f>
      </c>
      <c r="G213" s="25">
        <f>IF($A213="","",SUMIFS(Cashflows!$D$5:$D$5000,Cashflows!$B$5:$B$5000,$A213,Cashflows!$C$5:$C$5000,"Ausschüttung"))</f>
      </c>
      <c r="H213" s="25">
        <f>IF($A213="","",SUMIFS(Cashflows!$E$5:$E$5000,Cashflows!$B$5:$B$5000,$A213,Cashflows!$C$5:$C$5000,"Ausschüttung"))</f>
      </c>
      <c r="I213" s="26">
        <f>IF($A213="","",D213-E213+H213)</f>
      </c>
      <c r="J213" s="25">
        <f>IF($A213="","",SUMIFS(Cashflows!$D$5:$D$5000,Cashflows!$B$5:$B$5000,$A213,Cashflows!$G$5:$G$5000,"Angekündigt",Cashflows!$C$5:$C$5000,"&lt;&gt;Ausschüttung"))</f>
      </c>
      <c r="K213" s="27">
        <f>IF($A213="","",IF(COUNTIFS(Cashflows!$B$5:$B$5000,$A213,Cashflows!$G$5:$G$5000,"Angekündigt",Cashflows!$C$5:$C$5000,"&lt;&gt;Ausschüttung",Cashflows!$F$5:$F$5000,"&gt;0")=0,"",MINIFS(Cashflows!$F$5:$F$5000,Cashflows!$B$5:$B$5000,$A213,Cashflows!$G$5:$G$5000,"Angekündigt",Cashflows!$C$5:$C$5000,"&lt;&gt;Ausschüttung",Cashflows!$F$5:$F$5000,"&gt;0")))</f>
      </c>
      <c r="L213" s="25">
        <f>IF($A213="","",I213+J213)</f>
      </c>
    </row>
    <row r="214" spans="1:12" x14ac:dyDescent="0.25">
      <c r="A214" s="23">
        <f>IF(INDEX(Fonds!$A$1:$A$1000,177)="","",INDEX(Fonds!$A$1:$A$1000,177))</f>
      </c>
      <c r="B214" s="23">
        <f>IF($A214="","",INDEX(Fonds!$B$1:$B$1000,177)&amp;"")</f>
      </c>
      <c r="C214" s="23">
        <f>IF($A214="","",INDEX(Fonds!$D$1:$D$1000,177)&amp;"")</f>
      </c>
      <c r="D214" s="25">
        <f>IF($A214="","",INDEX(Fonds!$E$1:$E$1000,177))</f>
      </c>
      <c r="E214" s="25">
        <f>IF($A214="","",SUMIFS(Cashflows!$D$5:$D$5000,Cashflows!$B$5:$B$5000,$A214,Cashflows!$C$5:$C$5000,"Abruf"))</f>
      </c>
      <c r="F214" s="25">
        <f>IF($A214="","",SUMIFS(Cashflows!$D$5:$D$5000,Cashflows!$B$5:$B$5000,$A214,Cashflows!$C$5:$C$5000,"Gebühr außerhalb der Zusage")+SUMIFS(Cashflows!$D$5:$D$5000,Cashflows!$B$5:$B$5000,$A214,Cashflows!$C$5:$C$5000,"Ausgleichszins"))</f>
      </c>
      <c r="G214" s="25">
        <f>IF($A214="","",SUMIFS(Cashflows!$D$5:$D$5000,Cashflows!$B$5:$B$5000,$A214,Cashflows!$C$5:$C$5000,"Ausschüttung"))</f>
      </c>
      <c r="H214" s="25">
        <f>IF($A214="","",SUMIFS(Cashflows!$E$5:$E$5000,Cashflows!$B$5:$B$5000,$A214,Cashflows!$C$5:$C$5000,"Ausschüttung"))</f>
      </c>
      <c r="I214" s="26">
        <f>IF($A214="","",D214-E214+H214)</f>
      </c>
      <c r="J214" s="25">
        <f>IF($A214="","",SUMIFS(Cashflows!$D$5:$D$5000,Cashflows!$B$5:$B$5000,$A214,Cashflows!$G$5:$G$5000,"Angekündigt",Cashflows!$C$5:$C$5000,"&lt;&gt;Ausschüttung"))</f>
      </c>
      <c r="K214" s="27">
        <f>IF($A214="","",IF(COUNTIFS(Cashflows!$B$5:$B$5000,$A214,Cashflows!$G$5:$G$5000,"Angekündigt",Cashflows!$C$5:$C$5000,"&lt;&gt;Ausschüttung",Cashflows!$F$5:$F$5000,"&gt;0")=0,"",MINIFS(Cashflows!$F$5:$F$5000,Cashflows!$B$5:$B$5000,$A214,Cashflows!$G$5:$G$5000,"Angekündigt",Cashflows!$C$5:$C$5000,"&lt;&gt;Ausschüttung",Cashflows!$F$5:$F$5000,"&gt;0")))</f>
      </c>
      <c r="L214" s="25">
        <f>IF($A214="","",I214+J214)</f>
      </c>
    </row>
    <row r="215" spans="1:12" x14ac:dyDescent="0.25">
      <c r="A215" s="23">
        <f>IF(INDEX(Fonds!$A$1:$A$1000,178)="","",INDEX(Fonds!$A$1:$A$1000,178))</f>
      </c>
      <c r="B215" s="23">
        <f>IF($A215="","",INDEX(Fonds!$B$1:$B$1000,178)&amp;"")</f>
      </c>
      <c r="C215" s="23">
        <f>IF($A215="","",INDEX(Fonds!$D$1:$D$1000,178)&amp;"")</f>
      </c>
      <c r="D215" s="25">
        <f>IF($A215="","",INDEX(Fonds!$E$1:$E$1000,178))</f>
      </c>
      <c r="E215" s="25">
        <f>IF($A215="","",SUMIFS(Cashflows!$D$5:$D$5000,Cashflows!$B$5:$B$5000,$A215,Cashflows!$C$5:$C$5000,"Abruf"))</f>
      </c>
      <c r="F215" s="25">
        <f>IF($A215="","",SUMIFS(Cashflows!$D$5:$D$5000,Cashflows!$B$5:$B$5000,$A215,Cashflows!$C$5:$C$5000,"Gebühr außerhalb der Zusage")+SUMIFS(Cashflows!$D$5:$D$5000,Cashflows!$B$5:$B$5000,$A215,Cashflows!$C$5:$C$5000,"Ausgleichszins"))</f>
      </c>
      <c r="G215" s="25">
        <f>IF($A215="","",SUMIFS(Cashflows!$D$5:$D$5000,Cashflows!$B$5:$B$5000,$A215,Cashflows!$C$5:$C$5000,"Ausschüttung"))</f>
      </c>
      <c r="H215" s="25">
        <f>IF($A215="","",SUMIFS(Cashflows!$E$5:$E$5000,Cashflows!$B$5:$B$5000,$A215,Cashflows!$C$5:$C$5000,"Ausschüttung"))</f>
      </c>
      <c r="I215" s="26">
        <f>IF($A215="","",D215-E215+H215)</f>
      </c>
      <c r="J215" s="25">
        <f>IF($A215="","",SUMIFS(Cashflows!$D$5:$D$5000,Cashflows!$B$5:$B$5000,$A215,Cashflows!$G$5:$G$5000,"Angekündigt",Cashflows!$C$5:$C$5000,"&lt;&gt;Ausschüttung"))</f>
      </c>
      <c r="K215" s="27">
        <f>IF($A215="","",IF(COUNTIFS(Cashflows!$B$5:$B$5000,$A215,Cashflows!$G$5:$G$5000,"Angekündigt",Cashflows!$C$5:$C$5000,"&lt;&gt;Ausschüttung",Cashflows!$F$5:$F$5000,"&gt;0")=0,"",MINIFS(Cashflows!$F$5:$F$5000,Cashflows!$B$5:$B$5000,$A215,Cashflows!$G$5:$G$5000,"Angekündigt",Cashflows!$C$5:$C$5000,"&lt;&gt;Ausschüttung",Cashflows!$F$5:$F$5000,"&gt;0")))</f>
      </c>
      <c r="L215" s="25">
        <f>IF($A215="","",I215+J215)</f>
      </c>
    </row>
    <row r="216" spans="1:12" x14ac:dyDescent="0.25">
      <c r="A216" s="23">
        <f>IF(INDEX(Fonds!$A$1:$A$1000,179)="","",INDEX(Fonds!$A$1:$A$1000,179))</f>
      </c>
      <c r="B216" s="23">
        <f>IF($A216="","",INDEX(Fonds!$B$1:$B$1000,179)&amp;"")</f>
      </c>
      <c r="C216" s="23">
        <f>IF($A216="","",INDEX(Fonds!$D$1:$D$1000,179)&amp;"")</f>
      </c>
      <c r="D216" s="25">
        <f>IF($A216="","",INDEX(Fonds!$E$1:$E$1000,179))</f>
      </c>
      <c r="E216" s="25">
        <f>IF($A216="","",SUMIFS(Cashflows!$D$5:$D$5000,Cashflows!$B$5:$B$5000,$A216,Cashflows!$C$5:$C$5000,"Abruf"))</f>
      </c>
      <c r="F216" s="25">
        <f>IF($A216="","",SUMIFS(Cashflows!$D$5:$D$5000,Cashflows!$B$5:$B$5000,$A216,Cashflows!$C$5:$C$5000,"Gebühr außerhalb der Zusage")+SUMIFS(Cashflows!$D$5:$D$5000,Cashflows!$B$5:$B$5000,$A216,Cashflows!$C$5:$C$5000,"Ausgleichszins"))</f>
      </c>
      <c r="G216" s="25">
        <f>IF($A216="","",SUMIFS(Cashflows!$D$5:$D$5000,Cashflows!$B$5:$B$5000,$A216,Cashflows!$C$5:$C$5000,"Ausschüttung"))</f>
      </c>
      <c r="H216" s="25">
        <f>IF($A216="","",SUMIFS(Cashflows!$E$5:$E$5000,Cashflows!$B$5:$B$5000,$A216,Cashflows!$C$5:$C$5000,"Ausschüttung"))</f>
      </c>
      <c r="I216" s="26">
        <f>IF($A216="","",D216-E216+H216)</f>
      </c>
      <c r="J216" s="25">
        <f>IF($A216="","",SUMIFS(Cashflows!$D$5:$D$5000,Cashflows!$B$5:$B$5000,$A216,Cashflows!$G$5:$G$5000,"Angekündigt",Cashflows!$C$5:$C$5000,"&lt;&gt;Ausschüttung"))</f>
      </c>
      <c r="K216" s="27">
        <f>IF($A216="","",IF(COUNTIFS(Cashflows!$B$5:$B$5000,$A216,Cashflows!$G$5:$G$5000,"Angekündigt",Cashflows!$C$5:$C$5000,"&lt;&gt;Ausschüttung",Cashflows!$F$5:$F$5000,"&gt;0")=0,"",MINIFS(Cashflows!$F$5:$F$5000,Cashflows!$B$5:$B$5000,$A216,Cashflows!$G$5:$G$5000,"Angekündigt",Cashflows!$C$5:$C$5000,"&lt;&gt;Ausschüttung",Cashflows!$F$5:$F$5000,"&gt;0")))</f>
      </c>
      <c r="L216" s="25">
        <f>IF($A216="","",I216+J216)</f>
      </c>
    </row>
    <row r="217" spans="1:12" x14ac:dyDescent="0.25">
      <c r="A217" s="23">
        <f>IF(INDEX(Fonds!$A$1:$A$1000,180)="","",INDEX(Fonds!$A$1:$A$1000,180))</f>
      </c>
      <c r="B217" s="23">
        <f>IF($A217="","",INDEX(Fonds!$B$1:$B$1000,180)&amp;"")</f>
      </c>
      <c r="C217" s="23">
        <f>IF($A217="","",INDEX(Fonds!$D$1:$D$1000,180)&amp;"")</f>
      </c>
      <c r="D217" s="25">
        <f>IF($A217="","",INDEX(Fonds!$E$1:$E$1000,180))</f>
      </c>
      <c r="E217" s="25">
        <f>IF($A217="","",SUMIFS(Cashflows!$D$5:$D$5000,Cashflows!$B$5:$B$5000,$A217,Cashflows!$C$5:$C$5000,"Abruf"))</f>
      </c>
      <c r="F217" s="25">
        <f>IF($A217="","",SUMIFS(Cashflows!$D$5:$D$5000,Cashflows!$B$5:$B$5000,$A217,Cashflows!$C$5:$C$5000,"Gebühr außerhalb der Zusage")+SUMIFS(Cashflows!$D$5:$D$5000,Cashflows!$B$5:$B$5000,$A217,Cashflows!$C$5:$C$5000,"Ausgleichszins"))</f>
      </c>
      <c r="G217" s="25">
        <f>IF($A217="","",SUMIFS(Cashflows!$D$5:$D$5000,Cashflows!$B$5:$B$5000,$A217,Cashflows!$C$5:$C$5000,"Ausschüttung"))</f>
      </c>
      <c r="H217" s="25">
        <f>IF($A217="","",SUMIFS(Cashflows!$E$5:$E$5000,Cashflows!$B$5:$B$5000,$A217,Cashflows!$C$5:$C$5000,"Ausschüttung"))</f>
      </c>
      <c r="I217" s="26">
        <f>IF($A217="","",D217-E217+H217)</f>
      </c>
      <c r="J217" s="25">
        <f>IF($A217="","",SUMIFS(Cashflows!$D$5:$D$5000,Cashflows!$B$5:$B$5000,$A217,Cashflows!$G$5:$G$5000,"Angekündigt",Cashflows!$C$5:$C$5000,"&lt;&gt;Ausschüttung"))</f>
      </c>
      <c r="K217" s="27">
        <f>IF($A217="","",IF(COUNTIFS(Cashflows!$B$5:$B$5000,$A217,Cashflows!$G$5:$G$5000,"Angekündigt",Cashflows!$C$5:$C$5000,"&lt;&gt;Ausschüttung",Cashflows!$F$5:$F$5000,"&gt;0")=0,"",MINIFS(Cashflows!$F$5:$F$5000,Cashflows!$B$5:$B$5000,$A217,Cashflows!$G$5:$G$5000,"Angekündigt",Cashflows!$C$5:$C$5000,"&lt;&gt;Ausschüttung",Cashflows!$F$5:$F$5000,"&gt;0")))</f>
      </c>
      <c r="L217" s="25">
        <f>IF($A217="","",I217+J217)</f>
      </c>
    </row>
    <row r="218" spans="1:12" x14ac:dyDescent="0.25">
      <c r="A218" s="23">
        <f>IF(INDEX(Fonds!$A$1:$A$1000,181)="","",INDEX(Fonds!$A$1:$A$1000,181))</f>
      </c>
      <c r="B218" s="23">
        <f>IF($A218="","",INDEX(Fonds!$B$1:$B$1000,181)&amp;"")</f>
      </c>
      <c r="C218" s="23">
        <f>IF($A218="","",INDEX(Fonds!$D$1:$D$1000,181)&amp;"")</f>
      </c>
      <c r="D218" s="25">
        <f>IF($A218="","",INDEX(Fonds!$E$1:$E$1000,181))</f>
      </c>
      <c r="E218" s="25">
        <f>IF($A218="","",SUMIFS(Cashflows!$D$5:$D$5000,Cashflows!$B$5:$B$5000,$A218,Cashflows!$C$5:$C$5000,"Abruf"))</f>
      </c>
      <c r="F218" s="25">
        <f>IF($A218="","",SUMIFS(Cashflows!$D$5:$D$5000,Cashflows!$B$5:$B$5000,$A218,Cashflows!$C$5:$C$5000,"Gebühr außerhalb der Zusage")+SUMIFS(Cashflows!$D$5:$D$5000,Cashflows!$B$5:$B$5000,$A218,Cashflows!$C$5:$C$5000,"Ausgleichszins"))</f>
      </c>
      <c r="G218" s="25">
        <f>IF($A218="","",SUMIFS(Cashflows!$D$5:$D$5000,Cashflows!$B$5:$B$5000,$A218,Cashflows!$C$5:$C$5000,"Ausschüttung"))</f>
      </c>
      <c r="H218" s="25">
        <f>IF($A218="","",SUMIFS(Cashflows!$E$5:$E$5000,Cashflows!$B$5:$B$5000,$A218,Cashflows!$C$5:$C$5000,"Ausschüttung"))</f>
      </c>
      <c r="I218" s="26">
        <f>IF($A218="","",D218-E218+H218)</f>
      </c>
      <c r="J218" s="25">
        <f>IF($A218="","",SUMIFS(Cashflows!$D$5:$D$5000,Cashflows!$B$5:$B$5000,$A218,Cashflows!$G$5:$G$5000,"Angekündigt",Cashflows!$C$5:$C$5000,"&lt;&gt;Ausschüttung"))</f>
      </c>
      <c r="K218" s="27">
        <f>IF($A218="","",IF(COUNTIFS(Cashflows!$B$5:$B$5000,$A218,Cashflows!$G$5:$G$5000,"Angekündigt",Cashflows!$C$5:$C$5000,"&lt;&gt;Ausschüttung",Cashflows!$F$5:$F$5000,"&gt;0")=0,"",MINIFS(Cashflows!$F$5:$F$5000,Cashflows!$B$5:$B$5000,$A218,Cashflows!$G$5:$G$5000,"Angekündigt",Cashflows!$C$5:$C$5000,"&lt;&gt;Ausschüttung",Cashflows!$F$5:$F$5000,"&gt;0")))</f>
      </c>
      <c r="L218" s="25">
        <f>IF($A218="","",I218+J218)</f>
      </c>
    </row>
    <row r="219" spans="1:12" x14ac:dyDescent="0.25">
      <c r="A219" s="23">
        <f>IF(INDEX(Fonds!$A$1:$A$1000,182)="","",INDEX(Fonds!$A$1:$A$1000,182))</f>
      </c>
      <c r="B219" s="23">
        <f>IF($A219="","",INDEX(Fonds!$B$1:$B$1000,182)&amp;"")</f>
      </c>
      <c r="C219" s="23">
        <f>IF($A219="","",INDEX(Fonds!$D$1:$D$1000,182)&amp;"")</f>
      </c>
      <c r="D219" s="25">
        <f>IF($A219="","",INDEX(Fonds!$E$1:$E$1000,182))</f>
      </c>
      <c r="E219" s="25">
        <f>IF($A219="","",SUMIFS(Cashflows!$D$5:$D$5000,Cashflows!$B$5:$B$5000,$A219,Cashflows!$C$5:$C$5000,"Abruf"))</f>
      </c>
      <c r="F219" s="25">
        <f>IF($A219="","",SUMIFS(Cashflows!$D$5:$D$5000,Cashflows!$B$5:$B$5000,$A219,Cashflows!$C$5:$C$5000,"Gebühr außerhalb der Zusage")+SUMIFS(Cashflows!$D$5:$D$5000,Cashflows!$B$5:$B$5000,$A219,Cashflows!$C$5:$C$5000,"Ausgleichszins"))</f>
      </c>
      <c r="G219" s="25">
        <f>IF($A219="","",SUMIFS(Cashflows!$D$5:$D$5000,Cashflows!$B$5:$B$5000,$A219,Cashflows!$C$5:$C$5000,"Ausschüttung"))</f>
      </c>
      <c r="H219" s="25">
        <f>IF($A219="","",SUMIFS(Cashflows!$E$5:$E$5000,Cashflows!$B$5:$B$5000,$A219,Cashflows!$C$5:$C$5000,"Ausschüttung"))</f>
      </c>
      <c r="I219" s="26">
        <f>IF($A219="","",D219-E219+H219)</f>
      </c>
      <c r="J219" s="25">
        <f>IF($A219="","",SUMIFS(Cashflows!$D$5:$D$5000,Cashflows!$B$5:$B$5000,$A219,Cashflows!$G$5:$G$5000,"Angekündigt",Cashflows!$C$5:$C$5000,"&lt;&gt;Ausschüttung"))</f>
      </c>
      <c r="K219" s="27">
        <f>IF($A219="","",IF(COUNTIFS(Cashflows!$B$5:$B$5000,$A219,Cashflows!$G$5:$G$5000,"Angekündigt",Cashflows!$C$5:$C$5000,"&lt;&gt;Ausschüttung",Cashflows!$F$5:$F$5000,"&gt;0")=0,"",MINIFS(Cashflows!$F$5:$F$5000,Cashflows!$B$5:$B$5000,$A219,Cashflows!$G$5:$G$5000,"Angekündigt",Cashflows!$C$5:$C$5000,"&lt;&gt;Ausschüttung",Cashflows!$F$5:$F$5000,"&gt;0")))</f>
      </c>
      <c r="L219" s="25">
        <f>IF($A219="","",I219+J219)</f>
      </c>
    </row>
    <row r="220" spans="1:12" x14ac:dyDescent="0.25">
      <c r="A220" s="23">
        <f>IF(INDEX(Fonds!$A$1:$A$1000,183)="","",INDEX(Fonds!$A$1:$A$1000,183))</f>
      </c>
      <c r="B220" s="23">
        <f>IF($A220="","",INDEX(Fonds!$B$1:$B$1000,183)&amp;"")</f>
      </c>
      <c r="C220" s="23">
        <f>IF($A220="","",INDEX(Fonds!$D$1:$D$1000,183)&amp;"")</f>
      </c>
      <c r="D220" s="25">
        <f>IF($A220="","",INDEX(Fonds!$E$1:$E$1000,183))</f>
      </c>
      <c r="E220" s="25">
        <f>IF($A220="","",SUMIFS(Cashflows!$D$5:$D$5000,Cashflows!$B$5:$B$5000,$A220,Cashflows!$C$5:$C$5000,"Abruf"))</f>
      </c>
      <c r="F220" s="25">
        <f>IF($A220="","",SUMIFS(Cashflows!$D$5:$D$5000,Cashflows!$B$5:$B$5000,$A220,Cashflows!$C$5:$C$5000,"Gebühr außerhalb der Zusage")+SUMIFS(Cashflows!$D$5:$D$5000,Cashflows!$B$5:$B$5000,$A220,Cashflows!$C$5:$C$5000,"Ausgleichszins"))</f>
      </c>
      <c r="G220" s="25">
        <f>IF($A220="","",SUMIFS(Cashflows!$D$5:$D$5000,Cashflows!$B$5:$B$5000,$A220,Cashflows!$C$5:$C$5000,"Ausschüttung"))</f>
      </c>
      <c r="H220" s="25">
        <f>IF($A220="","",SUMIFS(Cashflows!$E$5:$E$5000,Cashflows!$B$5:$B$5000,$A220,Cashflows!$C$5:$C$5000,"Ausschüttung"))</f>
      </c>
      <c r="I220" s="26">
        <f>IF($A220="","",D220-E220+H220)</f>
      </c>
      <c r="J220" s="25">
        <f>IF($A220="","",SUMIFS(Cashflows!$D$5:$D$5000,Cashflows!$B$5:$B$5000,$A220,Cashflows!$G$5:$G$5000,"Angekündigt",Cashflows!$C$5:$C$5000,"&lt;&gt;Ausschüttung"))</f>
      </c>
      <c r="K220" s="27">
        <f>IF($A220="","",IF(COUNTIFS(Cashflows!$B$5:$B$5000,$A220,Cashflows!$G$5:$G$5000,"Angekündigt",Cashflows!$C$5:$C$5000,"&lt;&gt;Ausschüttung",Cashflows!$F$5:$F$5000,"&gt;0")=0,"",MINIFS(Cashflows!$F$5:$F$5000,Cashflows!$B$5:$B$5000,$A220,Cashflows!$G$5:$G$5000,"Angekündigt",Cashflows!$C$5:$C$5000,"&lt;&gt;Ausschüttung",Cashflows!$F$5:$F$5000,"&gt;0")))</f>
      </c>
      <c r="L220" s="25">
        <f>IF($A220="","",I220+J220)</f>
      </c>
    </row>
    <row r="221" spans="1:12" x14ac:dyDescent="0.25">
      <c r="A221" s="23">
        <f>IF(INDEX(Fonds!$A$1:$A$1000,184)="","",INDEX(Fonds!$A$1:$A$1000,184))</f>
      </c>
      <c r="B221" s="23">
        <f>IF($A221="","",INDEX(Fonds!$B$1:$B$1000,184)&amp;"")</f>
      </c>
      <c r="C221" s="23">
        <f>IF($A221="","",INDEX(Fonds!$D$1:$D$1000,184)&amp;"")</f>
      </c>
      <c r="D221" s="25">
        <f>IF($A221="","",INDEX(Fonds!$E$1:$E$1000,184))</f>
      </c>
      <c r="E221" s="25">
        <f>IF($A221="","",SUMIFS(Cashflows!$D$5:$D$5000,Cashflows!$B$5:$B$5000,$A221,Cashflows!$C$5:$C$5000,"Abruf"))</f>
      </c>
      <c r="F221" s="25">
        <f>IF($A221="","",SUMIFS(Cashflows!$D$5:$D$5000,Cashflows!$B$5:$B$5000,$A221,Cashflows!$C$5:$C$5000,"Gebühr außerhalb der Zusage")+SUMIFS(Cashflows!$D$5:$D$5000,Cashflows!$B$5:$B$5000,$A221,Cashflows!$C$5:$C$5000,"Ausgleichszins"))</f>
      </c>
      <c r="G221" s="25">
        <f>IF($A221="","",SUMIFS(Cashflows!$D$5:$D$5000,Cashflows!$B$5:$B$5000,$A221,Cashflows!$C$5:$C$5000,"Ausschüttung"))</f>
      </c>
      <c r="H221" s="25">
        <f>IF($A221="","",SUMIFS(Cashflows!$E$5:$E$5000,Cashflows!$B$5:$B$5000,$A221,Cashflows!$C$5:$C$5000,"Ausschüttung"))</f>
      </c>
      <c r="I221" s="26">
        <f>IF($A221="","",D221-E221+H221)</f>
      </c>
      <c r="J221" s="25">
        <f>IF($A221="","",SUMIFS(Cashflows!$D$5:$D$5000,Cashflows!$B$5:$B$5000,$A221,Cashflows!$G$5:$G$5000,"Angekündigt",Cashflows!$C$5:$C$5000,"&lt;&gt;Ausschüttung"))</f>
      </c>
      <c r="K221" s="27">
        <f>IF($A221="","",IF(COUNTIFS(Cashflows!$B$5:$B$5000,$A221,Cashflows!$G$5:$G$5000,"Angekündigt",Cashflows!$C$5:$C$5000,"&lt;&gt;Ausschüttung",Cashflows!$F$5:$F$5000,"&gt;0")=0,"",MINIFS(Cashflows!$F$5:$F$5000,Cashflows!$B$5:$B$5000,$A221,Cashflows!$G$5:$G$5000,"Angekündigt",Cashflows!$C$5:$C$5000,"&lt;&gt;Ausschüttung",Cashflows!$F$5:$F$5000,"&gt;0")))</f>
      </c>
      <c r="L221" s="25">
        <f>IF($A221="","",I221+J221)</f>
      </c>
    </row>
    <row r="222" spans="1:12" x14ac:dyDescent="0.25">
      <c r="A222" s="23">
        <f>IF(INDEX(Fonds!$A$1:$A$1000,185)="","",INDEX(Fonds!$A$1:$A$1000,185))</f>
      </c>
      <c r="B222" s="23">
        <f>IF($A222="","",INDEX(Fonds!$B$1:$B$1000,185)&amp;"")</f>
      </c>
      <c r="C222" s="23">
        <f>IF($A222="","",INDEX(Fonds!$D$1:$D$1000,185)&amp;"")</f>
      </c>
      <c r="D222" s="25">
        <f>IF($A222="","",INDEX(Fonds!$E$1:$E$1000,185))</f>
      </c>
      <c r="E222" s="25">
        <f>IF($A222="","",SUMIFS(Cashflows!$D$5:$D$5000,Cashflows!$B$5:$B$5000,$A222,Cashflows!$C$5:$C$5000,"Abruf"))</f>
      </c>
      <c r="F222" s="25">
        <f>IF($A222="","",SUMIFS(Cashflows!$D$5:$D$5000,Cashflows!$B$5:$B$5000,$A222,Cashflows!$C$5:$C$5000,"Gebühr außerhalb der Zusage")+SUMIFS(Cashflows!$D$5:$D$5000,Cashflows!$B$5:$B$5000,$A222,Cashflows!$C$5:$C$5000,"Ausgleichszins"))</f>
      </c>
      <c r="G222" s="25">
        <f>IF($A222="","",SUMIFS(Cashflows!$D$5:$D$5000,Cashflows!$B$5:$B$5000,$A222,Cashflows!$C$5:$C$5000,"Ausschüttung"))</f>
      </c>
      <c r="H222" s="25">
        <f>IF($A222="","",SUMIFS(Cashflows!$E$5:$E$5000,Cashflows!$B$5:$B$5000,$A222,Cashflows!$C$5:$C$5000,"Ausschüttung"))</f>
      </c>
      <c r="I222" s="26">
        <f>IF($A222="","",D222-E222+H222)</f>
      </c>
      <c r="J222" s="25">
        <f>IF($A222="","",SUMIFS(Cashflows!$D$5:$D$5000,Cashflows!$B$5:$B$5000,$A222,Cashflows!$G$5:$G$5000,"Angekündigt",Cashflows!$C$5:$C$5000,"&lt;&gt;Ausschüttung"))</f>
      </c>
      <c r="K222" s="27">
        <f>IF($A222="","",IF(COUNTIFS(Cashflows!$B$5:$B$5000,$A222,Cashflows!$G$5:$G$5000,"Angekündigt",Cashflows!$C$5:$C$5000,"&lt;&gt;Ausschüttung",Cashflows!$F$5:$F$5000,"&gt;0")=0,"",MINIFS(Cashflows!$F$5:$F$5000,Cashflows!$B$5:$B$5000,$A222,Cashflows!$G$5:$G$5000,"Angekündigt",Cashflows!$C$5:$C$5000,"&lt;&gt;Ausschüttung",Cashflows!$F$5:$F$5000,"&gt;0")))</f>
      </c>
      <c r="L222" s="25">
        <f>IF($A222="","",I222+J222)</f>
      </c>
    </row>
    <row r="223" spans="1:12" x14ac:dyDescent="0.25">
      <c r="A223" s="23">
        <f>IF(INDEX(Fonds!$A$1:$A$1000,186)="","",INDEX(Fonds!$A$1:$A$1000,186))</f>
      </c>
      <c r="B223" s="23">
        <f>IF($A223="","",INDEX(Fonds!$B$1:$B$1000,186)&amp;"")</f>
      </c>
      <c r="C223" s="23">
        <f>IF($A223="","",INDEX(Fonds!$D$1:$D$1000,186)&amp;"")</f>
      </c>
      <c r="D223" s="25">
        <f>IF($A223="","",INDEX(Fonds!$E$1:$E$1000,186))</f>
      </c>
      <c r="E223" s="25">
        <f>IF($A223="","",SUMIFS(Cashflows!$D$5:$D$5000,Cashflows!$B$5:$B$5000,$A223,Cashflows!$C$5:$C$5000,"Abruf"))</f>
      </c>
      <c r="F223" s="25">
        <f>IF($A223="","",SUMIFS(Cashflows!$D$5:$D$5000,Cashflows!$B$5:$B$5000,$A223,Cashflows!$C$5:$C$5000,"Gebühr außerhalb der Zusage")+SUMIFS(Cashflows!$D$5:$D$5000,Cashflows!$B$5:$B$5000,$A223,Cashflows!$C$5:$C$5000,"Ausgleichszins"))</f>
      </c>
      <c r="G223" s="25">
        <f>IF($A223="","",SUMIFS(Cashflows!$D$5:$D$5000,Cashflows!$B$5:$B$5000,$A223,Cashflows!$C$5:$C$5000,"Ausschüttung"))</f>
      </c>
      <c r="H223" s="25">
        <f>IF($A223="","",SUMIFS(Cashflows!$E$5:$E$5000,Cashflows!$B$5:$B$5000,$A223,Cashflows!$C$5:$C$5000,"Ausschüttung"))</f>
      </c>
      <c r="I223" s="26">
        <f>IF($A223="","",D223-E223+H223)</f>
      </c>
      <c r="J223" s="25">
        <f>IF($A223="","",SUMIFS(Cashflows!$D$5:$D$5000,Cashflows!$B$5:$B$5000,$A223,Cashflows!$G$5:$G$5000,"Angekündigt",Cashflows!$C$5:$C$5000,"&lt;&gt;Ausschüttung"))</f>
      </c>
      <c r="K223" s="27">
        <f>IF($A223="","",IF(COUNTIFS(Cashflows!$B$5:$B$5000,$A223,Cashflows!$G$5:$G$5000,"Angekündigt",Cashflows!$C$5:$C$5000,"&lt;&gt;Ausschüttung",Cashflows!$F$5:$F$5000,"&gt;0")=0,"",MINIFS(Cashflows!$F$5:$F$5000,Cashflows!$B$5:$B$5000,$A223,Cashflows!$G$5:$G$5000,"Angekündigt",Cashflows!$C$5:$C$5000,"&lt;&gt;Ausschüttung",Cashflows!$F$5:$F$5000,"&gt;0")))</f>
      </c>
      <c r="L223" s="25">
        <f>IF($A223="","",I223+J223)</f>
      </c>
    </row>
    <row r="224" spans="1:12" x14ac:dyDescent="0.25">
      <c r="A224" s="23">
        <f>IF(INDEX(Fonds!$A$1:$A$1000,187)="","",INDEX(Fonds!$A$1:$A$1000,187))</f>
      </c>
      <c r="B224" s="23">
        <f>IF($A224="","",INDEX(Fonds!$B$1:$B$1000,187)&amp;"")</f>
      </c>
      <c r="C224" s="23">
        <f>IF($A224="","",INDEX(Fonds!$D$1:$D$1000,187)&amp;"")</f>
      </c>
      <c r="D224" s="25">
        <f>IF($A224="","",INDEX(Fonds!$E$1:$E$1000,187))</f>
      </c>
      <c r="E224" s="25">
        <f>IF($A224="","",SUMIFS(Cashflows!$D$5:$D$5000,Cashflows!$B$5:$B$5000,$A224,Cashflows!$C$5:$C$5000,"Abruf"))</f>
      </c>
      <c r="F224" s="25">
        <f>IF($A224="","",SUMIFS(Cashflows!$D$5:$D$5000,Cashflows!$B$5:$B$5000,$A224,Cashflows!$C$5:$C$5000,"Gebühr außerhalb der Zusage")+SUMIFS(Cashflows!$D$5:$D$5000,Cashflows!$B$5:$B$5000,$A224,Cashflows!$C$5:$C$5000,"Ausgleichszins"))</f>
      </c>
      <c r="G224" s="25">
        <f>IF($A224="","",SUMIFS(Cashflows!$D$5:$D$5000,Cashflows!$B$5:$B$5000,$A224,Cashflows!$C$5:$C$5000,"Ausschüttung"))</f>
      </c>
      <c r="H224" s="25">
        <f>IF($A224="","",SUMIFS(Cashflows!$E$5:$E$5000,Cashflows!$B$5:$B$5000,$A224,Cashflows!$C$5:$C$5000,"Ausschüttung"))</f>
      </c>
      <c r="I224" s="26">
        <f>IF($A224="","",D224-E224+H224)</f>
      </c>
      <c r="J224" s="25">
        <f>IF($A224="","",SUMIFS(Cashflows!$D$5:$D$5000,Cashflows!$B$5:$B$5000,$A224,Cashflows!$G$5:$G$5000,"Angekündigt",Cashflows!$C$5:$C$5000,"&lt;&gt;Ausschüttung"))</f>
      </c>
      <c r="K224" s="27">
        <f>IF($A224="","",IF(COUNTIFS(Cashflows!$B$5:$B$5000,$A224,Cashflows!$G$5:$G$5000,"Angekündigt",Cashflows!$C$5:$C$5000,"&lt;&gt;Ausschüttung",Cashflows!$F$5:$F$5000,"&gt;0")=0,"",MINIFS(Cashflows!$F$5:$F$5000,Cashflows!$B$5:$B$5000,$A224,Cashflows!$G$5:$G$5000,"Angekündigt",Cashflows!$C$5:$C$5000,"&lt;&gt;Ausschüttung",Cashflows!$F$5:$F$5000,"&gt;0")))</f>
      </c>
      <c r="L224" s="25">
        <f>IF($A224="","",I224+J224)</f>
      </c>
    </row>
    <row r="225" spans="1:12" x14ac:dyDescent="0.25">
      <c r="A225" s="23">
        <f>IF(INDEX(Fonds!$A$1:$A$1000,188)="","",INDEX(Fonds!$A$1:$A$1000,188))</f>
      </c>
      <c r="B225" s="23">
        <f>IF($A225="","",INDEX(Fonds!$B$1:$B$1000,188)&amp;"")</f>
      </c>
      <c r="C225" s="23">
        <f>IF($A225="","",INDEX(Fonds!$D$1:$D$1000,188)&amp;"")</f>
      </c>
      <c r="D225" s="25">
        <f>IF($A225="","",INDEX(Fonds!$E$1:$E$1000,188))</f>
      </c>
      <c r="E225" s="25">
        <f>IF($A225="","",SUMIFS(Cashflows!$D$5:$D$5000,Cashflows!$B$5:$B$5000,$A225,Cashflows!$C$5:$C$5000,"Abruf"))</f>
      </c>
      <c r="F225" s="25">
        <f>IF($A225="","",SUMIFS(Cashflows!$D$5:$D$5000,Cashflows!$B$5:$B$5000,$A225,Cashflows!$C$5:$C$5000,"Gebühr außerhalb der Zusage")+SUMIFS(Cashflows!$D$5:$D$5000,Cashflows!$B$5:$B$5000,$A225,Cashflows!$C$5:$C$5000,"Ausgleichszins"))</f>
      </c>
      <c r="G225" s="25">
        <f>IF($A225="","",SUMIFS(Cashflows!$D$5:$D$5000,Cashflows!$B$5:$B$5000,$A225,Cashflows!$C$5:$C$5000,"Ausschüttung"))</f>
      </c>
      <c r="H225" s="25">
        <f>IF($A225="","",SUMIFS(Cashflows!$E$5:$E$5000,Cashflows!$B$5:$B$5000,$A225,Cashflows!$C$5:$C$5000,"Ausschüttung"))</f>
      </c>
      <c r="I225" s="26">
        <f>IF($A225="","",D225-E225+H225)</f>
      </c>
      <c r="J225" s="25">
        <f>IF($A225="","",SUMIFS(Cashflows!$D$5:$D$5000,Cashflows!$B$5:$B$5000,$A225,Cashflows!$G$5:$G$5000,"Angekündigt",Cashflows!$C$5:$C$5000,"&lt;&gt;Ausschüttung"))</f>
      </c>
      <c r="K225" s="27">
        <f>IF($A225="","",IF(COUNTIFS(Cashflows!$B$5:$B$5000,$A225,Cashflows!$G$5:$G$5000,"Angekündigt",Cashflows!$C$5:$C$5000,"&lt;&gt;Ausschüttung",Cashflows!$F$5:$F$5000,"&gt;0")=0,"",MINIFS(Cashflows!$F$5:$F$5000,Cashflows!$B$5:$B$5000,$A225,Cashflows!$G$5:$G$5000,"Angekündigt",Cashflows!$C$5:$C$5000,"&lt;&gt;Ausschüttung",Cashflows!$F$5:$F$5000,"&gt;0")))</f>
      </c>
      <c r="L225" s="25">
        <f>IF($A225="","",I225+J225)</f>
      </c>
    </row>
    <row r="226" spans="1:12" x14ac:dyDescent="0.25">
      <c r="A226" s="23">
        <f>IF(INDEX(Fonds!$A$1:$A$1000,189)="","",INDEX(Fonds!$A$1:$A$1000,189))</f>
      </c>
      <c r="B226" s="23">
        <f>IF($A226="","",INDEX(Fonds!$B$1:$B$1000,189)&amp;"")</f>
      </c>
      <c r="C226" s="23">
        <f>IF($A226="","",INDEX(Fonds!$D$1:$D$1000,189)&amp;"")</f>
      </c>
      <c r="D226" s="25">
        <f>IF($A226="","",INDEX(Fonds!$E$1:$E$1000,189))</f>
      </c>
      <c r="E226" s="25">
        <f>IF($A226="","",SUMIFS(Cashflows!$D$5:$D$5000,Cashflows!$B$5:$B$5000,$A226,Cashflows!$C$5:$C$5000,"Abruf"))</f>
      </c>
      <c r="F226" s="25">
        <f>IF($A226="","",SUMIFS(Cashflows!$D$5:$D$5000,Cashflows!$B$5:$B$5000,$A226,Cashflows!$C$5:$C$5000,"Gebühr außerhalb der Zusage")+SUMIFS(Cashflows!$D$5:$D$5000,Cashflows!$B$5:$B$5000,$A226,Cashflows!$C$5:$C$5000,"Ausgleichszins"))</f>
      </c>
      <c r="G226" s="25">
        <f>IF($A226="","",SUMIFS(Cashflows!$D$5:$D$5000,Cashflows!$B$5:$B$5000,$A226,Cashflows!$C$5:$C$5000,"Ausschüttung"))</f>
      </c>
      <c r="H226" s="25">
        <f>IF($A226="","",SUMIFS(Cashflows!$E$5:$E$5000,Cashflows!$B$5:$B$5000,$A226,Cashflows!$C$5:$C$5000,"Ausschüttung"))</f>
      </c>
      <c r="I226" s="26">
        <f>IF($A226="","",D226-E226+H226)</f>
      </c>
      <c r="J226" s="25">
        <f>IF($A226="","",SUMIFS(Cashflows!$D$5:$D$5000,Cashflows!$B$5:$B$5000,$A226,Cashflows!$G$5:$G$5000,"Angekündigt",Cashflows!$C$5:$C$5000,"&lt;&gt;Ausschüttung"))</f>
      </c>
      <c r="K226" s="27">
        <f>IF($A226="","",IF(COUNTIFS(Cashflows!$B$5:$B$5000,$A226,Cashflows!$G$5:$G$5000,"Angekündigt",Cashflows!$C$5:$C$5000,"&lt;&gt;Ausschüttung",Cashflows!$F$5:$F$5000,"&gt;0")=0,"",MINIFS(Cashflows!$F$5:$F$5000,Cashflows!$B$5:$B$5000,$A226,Cashflows!$G$5:$G$5000,"Angekündigt",Cashflows!$C$5:$C$5000,"&lt;&gt;Ausschüttung",Cashflows!$F$5:$F$5000,"&gt;0")))</f>
      </c>
      <c r="L226" s="25">
        <f>IF($A226="","",I226+J226)</f>
      </c>
    </row>
    <row r="227" spans="1:12" x14ac:dyDescent="0.25">
      <c r="A227" s="23">
        <f>IF(INDEX(Fonds!$A$1:$A$1000,190)="","",INDEX(Fonds!$A$1:$A$1000,190))</f>
      </c>
      <c r="B227" s="23">
        <f>IF($A227="","",INDEX(Fonds!$B$1:$B$1000,190)&amp;"")</f>
      </c>
      <c r="C227" s="23">
        <f>IF($A227="","",INDEX(Fonds!$D$1:$D$1000,190)&amp;"")</f>
      </c>
      <c r="D227" s="25">
        <f>IF($A227="","",INDEX(Fonds!$E$1:$E$1000,190))</f>
      </c>
      <c r="E227" s="25">
        <f>IF($A227="","",SUMIFS(Cashflows!$D$5:$D$5000,Cashflows!$B$5:$B$5000,$A227,Cashflows!$C$5:$C$5000,"Abruf"))</f>
      </c>
      <c r="F227" s="25">
        <f>IF($A227="","",SUMIFS(Cashflows!$D$5:$D$5000,Cashflows!$B$5:$B$5000,$A227,Cashflows!$C$5:$C$5000,"Gebühr außerhalb der Zusage")+SUMIFS(Cashflows!$D$5:$D$5000,Cashflows!$B$5:$B$5000,$A227,Cashflows!$C$5:$C$5000,"Ausgleichszins"))</f>
      </c>
      <c r="G227" s="25">
        <f>IF($A227="","",SUMIFS(Cashflows!$D$5:$D$5000,Cashflows!$B$5:$B$5000,$A227,Cashflows!$C$5:$C$5000,"Ausschüttung"))</f>
      </c>
      <c r="H227" s="25">
        <f>IF($A227="","",SUMIFS(Cashflows!$E$5:$E$5000,Cashflows!$B$5:$B$5000,$A227,Cashflows!$C$5:$C$5000,"Ausschüttung"))</f>
      </c>
      <c r="I227" s="26">
        <f>IF($A227="","",D227-E227+H227)</f>
      </c>
      <c r="J227" s="25">
        <f>IF($A227="","",SUMIFS(Cashflows!$D$5:$D$5000,Cashflows!$B$5:$B$5000,$A227,Cashflows!$G$5:$G$5000,"Angekündigt",Cashflows!$C$5:$C$5000,"&lt;&gt;Ausschüttung"))</f>
      </c>
      <c r="K227" s="27">
        <f>IF($A227="","",IF(COUNTIFS(Cashflows!$B$5:$B$5000,$A227,Cashflows!$G$5:$G$5000,"Angekündigt",Cashflows!$C$5:$C$5000,"&lt;&gt;Ausschüttung",Cashflows!$F$5:$F$5000,"&gt;0")=0,"",MINIFS(Cashflows!$F$5:$F$5000,Cashflows!$B$5:$B$5000,$A227,Cashflows!$G$5:$G$5000,"Angekündigt",Cashflows!$C$5:$C$5000,"&lt;&gt;Ausschüttung",Cashflows!$F$5:$F$5000,"&gt;0")))</f>
      </c>
      <c r="L227" s="25">
        <f>IF($A227="","",I227+J227)</f>
      </c>
    </row>
    <row r="228" spans="1:12" x14ac:dyDescent="0.25">
      <c r="A228" s="23">
        <f>IF(INDEX(Fonds!$A$1:$A$1000,191)="","",INDEX(Fonds!$A$1:$A$1000,191))</f>
      </c>
      <c r="B228" s="23">
        <f>IF($A228="","",INDEX(Fonds!$B$1:$B$1000,191)&amp;"")</f>
      </c>
      <c r="C228" s="23">
        <f>IF($A228="","",INDEX(Fonds!$D$1:$D$1000,191)&amp;"")</f>
      </c>
      <c r="D228" s="25">
        <f>IF($A228="","",INDEX(Fonds!$E$1:$E$1000,191))</f>
      </c>
      <c r="E228" s="25">
        <f>IF($A228="","",SUMIFS(Cashflows!$D$5:$D$5000,Cashflows!$B$5:$B$5000,$A228,Cashflows!$C$5:$C$5000,"Abruf"))</f>
      </c>
      <c r="F228" s="25">
        <f>IF($A228="","",SUMIFS(Cashflows!$D$5:$D$5000,Cashflows!$B$5:$B$5000,$A228,Cashflows!$C$5:$C$5000,"Gebühr außerhalb der Zusage")+SUMIFS(Cashflows!$D$5:$D$5000,Cashflows!$B$5:$B$5000,$A228,Cashflows!$C$5:$C$5000,"Ausgleichszins"))</f>
      </c>
      <c r="G228" s="25">
        <f>IF($A228="","",SUMIFS(Cashflows!$D$5:$D$5000,Cashflows!$B$5:$B$5000,$A228,Cashflows!$C$5:$C$5000,"Ausschüttung"))</f>
      </c>
      <c r="H228" s="25">
        <f>IF($A228="","",SUMIFS(Cashflows!$E$5:$E$5000,Cashflows!$B$5:$B$5000,$A228,Cashflows!$C$5:$C$5000,"Ausschüttung"))</f>
      </c>
      <c r="I228" s="26">
        <f>IF($A228="","",D228-E228+H228)</f>
      </c>
      <c r="J228" s="25">
        <f>IF($A228="","",SUMIFS(Cashflows!$D$5:$D$5000,Cashflows!$B$5:$B$5000,$A228,Cashflows!$G$5:$G$5000,"Angekündigt",Cashflows!$C$5:$C$5000,"&lt;&gt;Ausschüttung"))</f>
      </c>
      <c r="K228" s="27">
        <f>IF($A228="","",IF(COUNTIFS(Cashflows!$B$5:$B$5000,$A228,Cashflows!$G$5:$G$5000,"Angekündigt",Cashflows!$C$5:$C$5000,"&lt;&gt;Ausschüttung",Cashflows!$F$5:$F$5000,"&gt;0")=0,"",MINIFS(Cashflows!$F$5:$F$5000,Cashflows!$B$5:$B$5000,$A228,Cashflows!$G$5:$G$5000,"Angekündigt",Cashflows!$C$5:$C$5000,"&lt;&gt;Ausschüttung",Cashflows!$F$5:$F$5000,"&gt;0")))</f>
      </c>
      <c r="L228" s="25">
        <f>IF($A228="","",I228+J228)</f>
      </c>
    </row>
    <row r="229" spans="1:12" x14ac:dyDescent="0.25">
      <c r="A229" s="23">
        <f>IF(INDEX(Fonds!$A$1:$A$1000,192)="","",INDEX(Fonds!$A$1:$A$1000,192))</f>
      </c>
      <c r="B229" s="23">
        <f>IF($A229="","",INDEX(Fonds!$B$1:$B$1000,192)&amp;"")</f>
      </c>
      <c r="C229" s="23">
        <f>IF($A229="","",INDEX(Fonds!$D$1:$D$1000,192)&amp;"")</f>
      </c>
      <c r="D229" s="25">
        <f>IF($A229="","",INDEX(Fonds!$E$1:$E$1000,192))</f>
      </c>
      <c r="E229" s="25">
        <f>IF($A229="","",SUMIFS(Cashflows!$D$5:$D$5000,Cashflows!$B$5:$B$5000,$A229,Cashflows!$C$5:$C$5000,"Abruf"))</f>
      </c>
      <c r="F229" s="25">
        <f>IF($A229="","",SUMIFS(Cashflows!$D$5:$D$5000,Cashflows!$B$5:$B$5000,$A229,Cashflows!$C$5:$C$5000,"Gebühr außerhalb der Zusage")+SUMIFS(Cashflows!$D$5:$D$5000,Cashflows!$B$5:$B$5000,$A229,Cashflows!$C$5:$C$5000,"Ausgleichszins"))</f>
      </c>
      <c r="G229" s="25">
        <f>IF($A229="","",SUMIFS(Cashflows!$D$5:$D$5000,Cashflows!$B$5:$B$5000,$A229,Cashflows!$C$5:$C$5000,"Ausschüttung"))</f>
      </c>
      <c r="H229" s="25">
        <f>IF($A229="","",SUMIFS(Cashflows!$E$5:$E$5000,Cashflows!$B$5:$B$5000,$A229,Cashflows!$C$5:$C$5000,"Ausschüttung"))</f>
      </c>
      <c r="I229" s="26">
        <f>IF($A229="","",D229-E229+H229)</f>
      </c>
      <c r="J229" s="25">
        <f>IF($A229="","",SUMIFS(Cashflows!$D$5:$D$5000,Cashflows!$B$5:$B$5000,$A229,Cashflows!$G$5:$G$5000,"Angekündigt",Cashflows!$C$5:$C$5000,"&lt;&gt;Ausschüttung"))</f>
      </c>
      <c r="K229" s="27">
        <f>IF($A229="","",IF(COUNTIFS(Cashflows!$B$5:$B$5000,$A229,Cashflows!$G$5:$G$5000,"Angekündigt",Cashflows!$C$5:$C$5000,"&lt;&gt;Ausschüttung",Cashflows!$F$5:$F$5000,"&gt;0")=0,"",MINIFS(Cashflows!$F$5:$F$5000,Cashflows!$B$5:$B$5000,$A229,Cashflows!$G$5:$G$5000,"Angekündigt",Cashflows!$C$5:$C$5000,"&lt;&gt;Ausschüttung",Cashflows!$F$5:$F$5000,"&gt;0")))</f>
      </c>
      <c r="L229" s="25">
        <f>IF($A229="","",I229+J229)</f>
      </c>
    </row>
    <row r="230" spans="1:12" x14ac:dyDescent="0.25">
      <c r="A230" s="23">
        <f>IF(INDEX(Fonds!$A$1:$A$1000,193)="","",INDEX(Fonds!$A$1:$A$1000,193))</f>
      </c>
      <c r="B230" s="23">
        <f>IF($A230="","",INDEX(Fonds!$B$1:$B$1000,193)&amp;"")</f>
      </c>
      <c r="C230" s="23">
        <f>IF($A230="","",INDEX(Fonds!$D$1:$D$1000,193)&amp;"")</f>
      </c>
      <c r="D230" s="25">
        <f>IF($A230="","",INDEX(Fonds!$E$1:$E$1000,193))</f>
      </c>
      <c r="E230" s="25">
        <f>IF($A230="","",SUMIFS(Cashflows!$D$5:$D$5000,Cashflows!$B$5:$B$5000,$A230,Cashflows!$C$5:$C$5000,"Abruf"))</f>
      </c>
      <c r="F230" s="25">
        <f>IF($A230="","",SUMIFS(Cashflows!$D$5:$D$5000,Cashflows!$B$5:$B$5000,$A230,Cashflows!$C$5:$C$5000,"Gebühr außerhalb der Zusage")+SUMIFS(Cashflows!$D$5:$D$5000,Cashflows!$B$5:$B$5000,$A230,Cashflows!$C$5:$C$5000,"Ausgleichszins"))</f>
      </c>
      <c r="G230" s="25">
        <f>IF($A230="","",SUMIFS(Cashflows!$D$5:$D$5000,Cashflows!$B$5:$B$5000,$A230,Cashflows!$C$5:$C$5000,"Ausschüttung"))</f>
      </c>
      <c r="H230" s="25">
        <f>IF($A230="","",SUMIFS(Cashflows!$E$5:$E$5000,Cashflows!$B$5:$B$5000,$A230,Cashflows!$C$5:$C$5000,"Ausschüttung"))</f>
      </c>
      <c r="I230" s="26">
        <f>IF($A230="","",D230-E230+H230)</f>
      </c>
      <c r="J230" s="25">
        <f>IF($A230="","",SUMIFS(Cashflows!$D$5:$D$5000,Cashflows!$B$5:$B$5000,$A230,Cashflows!$G$5:$G$5000,"Angekündigt",Cashflows!$C$5:$C$5000,"&lt;&gt;Ausschüttung"))</f>
      </c>
      <c r="K230" s="27">
        <f>IF($A230="","",IF(COUNTIFS(Cashflows!$B$5:$B$5000,$A230,Cashflows!$G$5:$G$5000,"Angekündigt",Cashflows!$C$5:$C$5000,"&lt;&gt;Ausschüttung",Cashflows!$F$5:$F$5000,"&gt;0")=0,"",MINIFS(Cashflows!$F$5:$F$5000,Cashflows!$B$5:$B$5000,$A230,Cashflows!$G$5:$G$5000,"Angekündigt",Cashflows!$C$5:$C$5000,"&lt;&gt;Ausschüttung",Cashflows!$F$5:$F$5000,"&gt;0")))</f>
      </c>
      <c r="L230" s="25">
        <f>IF($A230="","",I230+J230)</f>
      </c>
    </row>
    <row r="231" spans="1:12" x14ac:dyDescent="0.25">
      <c r="A231" s="23">
        <f>IF(INDEX(Fonds!$A$1:$A$1000,194)="","",INDEX(Fonds!$A$1:$A$1000,194))</f>
      </c>
      <c r="B231" s="23">
        <f>IF($A231="","",INDEX(Fonds!$B$1:$B$1000,194)&amp;"")</f>
      </c>
      <c r="C231" s="23">
        <f>IF($A231="","",INDEX(Fonds!$D$1:$D$1000,194)&amp;"")</f>
      </c>
      <c r="D231" s="25">
        <f>IF($A231="","",INDEX(Fonds!$E$1:$E$1000,194))</f>
      </c>
      <c r="E231" s="25">
        <f>IF($A231="","",SUMIFS(Cashflows!$D$5:$D$5000,Cashflows!$B$5:$B$5000,$A231,Cashflows!$C$5:$C$5000,"Abruf"))</f>
      </c>
      <c r="F231" s="25">
        <f>IF($A231="","",SUMIFS(Cashflows!$D$5:$D$5000,Cashflows!$B$5:$B$5000,$A231,Cashflows!$C$5:$C$5000,"Gebühr außerhalb der Zusage")+SUMIFS(Cashflows!$D$5:$D$5000,Cashflows!$B$5:$B$5000,$A231,Cashflows!$C$5:$C$5000,"Ausgleichszins"))</f>
      </c>
      <c r="G231" s="25">
        <f>IF($A231="","",SUMIFS(Cashflows!$D$5:$D$5000,Cashflows!$B$5:$B$5000,$A231,Cashflows!$C$5:$C$5000,"Ausschüttung"))</f>
      </c>
      <c r="H231" s="25">
        <f>IF($A231="","",SUMIFS(Cashflows!$E$5:$E$5000,Cashflows!$B$5:$B$5000,$A231,Cashflows!$C$5:$C$5000,"Ausschüttung"))</f>
      </c>
      <c r="I231" s="26">
        <f>IF($A231="","",D231-E231+H231)</f>
      </c>
      <c r="J231" s="25">
        <f>IF($A231="","",SUMIFS(Cashflows!$D$5:$D$5000,Cashflows!$B$5:$B$5000,$A231,Cashflows!$G$5:$G$5000,"Angekündigt",Cashflows!$C$5:$C$5000,"&lt;&gt;Ausschüttung"))</f>
      </c>
      <c r="K231" s="27">
        <f>IF($A231="","",IF(COUNTIFS(Cashflows!$B$5:$B$5000,$A231,Cashflows!$G$5:$G$5000,"Angekündigt",Cashflows!$C$5:$C$5000,"&lt;&gt;Ausschüttung",Cashflows!$F$5:$F$5000,"&gt;0")=0,"",MINIFS(Cashflows!$F$5:$F$5000,Cashflows!$B$5:$B$5000,$A231,Cashflows!$G$5:$G$5000,"Angekündigt",Cashflows!$C$5:$C$5000,"&lt;&gt;Ausschüttung",Cashflows!$F$5:$F$5000,"&gt;0")))</f>
      </c>
      <c r="L231" s="25">
        <f>IF($A231="","",I231+J231)</f>
      </c>
    </row>
    <row r="232" spans="1:12" x14ac:dyDescent="0.25">
      <c r="A232" s="23">
        <f>IF(INDEX(Fonds!$A$1:$A$1000,195)="","",INDEX(Fonds!$A$1:$A$1000,195))</f>
      </c>
      <c r="B232" s="23">
        <f>IF($A232="","",INDEX(Fonds!$B$1:$B$1000,195)&amp;"")</f>
      </c>
      <c r="C232" s="23">
        <f>IF($A232="","",INDEX(Fonds!$D$1:$D$1000,195)&amp;"")</f>
      </c>
      <c r="D232" s="25">
        <f>IF($A232="","",INDEX(Fonds!$E$1:$E$1000,195))</f>
      </c>
      <c r="E232" s="25">
        <f>IF($A232="","",SUMIFS(Cashflows!$D$5:$D$5000,Cashflows!$B$5:$B$5000,$A232,Cashflows!$C$5:$C$5000,"Abruf"))</f>
      </c>
      <c r="F232" s="25">
        <f>IF($A232="","",SUMIFS(Cashflows!$D$5:$D$5000,Cashflows!$B$5:$B$5000,$A232,Cashflows!$C$5:$C$5000,"Gebühr außerhalb der Zusage")+SUMIFS(Cashflows!$D$5:$D$5000,Cashflows!$B$5:$B$5000,$A232,Cashflows!$C$5:$C$5000,"Ausgleichszins"))</f>
      </c>
      <c r="G232" s="25">
        <f>IF($A232="","",SUMIFS(Cashflows!$D$5:$D$5000,Cashflows!$B$5:$B$5000,$A232,Cashflows!$C$5:$C$5000,"Ausschüttung"))</f>
      </c>
      <c r="H232" s="25">
        <f>IF($A232="","",SUMIFS(Cashflows!$E$5:$E$5000,Cashflows!$B$5:$B$5000,$A232,Cashflows!$C$5:$C$5000,"Ausschüttung"))</f>
      </c>
      <c r="I232" s="26">
        <f>IF($A232="","",D232-E232+H232)</f>
      </c>
      <c r="J232" s="25">
        <f>IF($A232="","",SUMIFS(Cashflows!$D$5:$D$5000,Cashflows!$B$5:$B$5000,$A232,Cashflows!$G$5:$G$5000,"Angekündigt",Cashflows!$C$5:$C$5000,"&lt;&gt;Ausschüttung"))</f>
      </c>
      <c r="K232" s="27">
        <f>IF($A232="","",IF(COUNTIFS(Cashflows!$B$5:$B$5000,$A232,Cashflows!$G$5:$G$5000,"Angekündigt",Cashflows!$C$5:$C$5000,"&lt;&gt;Ausschüttung",Cashflows!$F$5:$F$5000,"&gt;0")=0,"",MINIFS(Cashflows!$F$5:$F$5000,Cashflows!$B$5:$B$5000,$A232,Cashflows!$G$5:$G$5000,"Angekündigt",Cashflows!$C$5:$C$5000,"&lt;&gt;Ausschüttung",Cashflows!$F$5:$F$5000,"&gt;0")))</f>
      </c>
      <c r="L232" s="25">
        <f>IF($A232="","",I232+J232)</f>
      </c>
    </row>
    <row r="233" spans="1:12" x14ac:dyDescent="0.25">
      <c r="A233" s="23">
        <f>IF(INDEX(Fonds!$A$1:$A$1000,196)="","",INDEX(Fonds!$A$1:$A$1000,196))</f>
      </c>
      <c r="B233" s="23">
        <f>IF($A233="","",INDEX(Fonds!$B$1:$B$1000,196)&amp;"")</f>
      </c>
      <c r="C233" s="23">
        <f>IF($A233="","",INDEX(Fonds!$D$1:$D$1000,196)&amp;"")</f>
      </c>
      <c r="D233" s="25">
        <f>IF($A233="","",INDEX(Fonds!$E$1:$E$1000,196))</f>
      </c>
      <c r="E233" s="25">
        <f>IF($A233="","",SUMIFS(Cashflows!$D$5:$D$5000,Cashflows!$B$5:$B$5000,$A233,Cashflows!$C$5:$C$5000,"Abruf"))</f>
      </c>
      <c r="F233" s="25">
        <f>IF($A233="","",SUMIFS(Cashflows!$D$5:$D$5000,Cashflows!$B$5:$B$5000,$A233,Cashflows!$C$5:$C$5000,"Gebühr außerhalb der Zusage")+SUMIFS(Cashflows!$D$5:$D$5000,Cashflows!$B$5:$B$5000,$A233,Cashflows!$C$5:$C$5000,"Ausgleichszins"))</f>
      </c>
      <c r="G233" s="25">
        <f>IF($A233="","",SUMIFS(Cashflows!$D$5:$D$5000,Cashflows!$B$5:$B$5000,$A233,Cashflows!$C$5:$C$5000,"Ausschüttung"))</f>
      </c>
      <c r="H233" s="25">
        <f>IF($A233="","",SUMIFS(Cashflows!$E$5:$E$5000,Cashflows!$B$5:$B$5000,$A233,Cashflows!$C$5:$C$5000,"Ausschüttung"))</f>
      </c>
      <c r="I233" s="26">
        <f>IF($A233="","",D233-E233+H233)</f>
      </c>
      <c r="J233" s="25">
        <f>IF($A233="","",SUMIFS(Cashflows!$D$5:$D$5000,Cashflows!$B$5:$B$5000,$A233,Cashflows!$G$5:$G$5000,"Angekündigt",Cashflows!$C$5:$C$5000,"&lt;&gt;Ausschüttung"))</f>
      </c>
      <c r="K233" s="27">
        <f>IF($A233="","",IF(COUNTIFS(Cashflows!$B$5:$B$5000,$A233,Cashflows!$G$5:$G$5000,"Angekündigt",Cashflows!$C$5:$C$5000,"&lt;&gt;Ausschüttung",Cashflows!$F$5:$F$5000,"&gt;0")=0,"",MINIFS(Cashflows!$F$5:$F$5000,Cashflows!$B$5:$B$5000,$A233,Cashflows!$G$5:$G$5000,"Angekündigt",Cashflows!$C$5:$C$5000,"&lt;&gt;Ausschüttung",Cashflows!$F$5:$F$5000,"&gt;0")))</f>
      </c>
      <c r="L233" s="25">
        <f>IF($A233="","",I233+J233)</f>
      </c>
    </row>
    <row r="234" spans="1:12" x14ac:dyDescent="0.25">
      <c r="A234" s="23">
        <f>IF(INDEX(Fonds!$A$1:$A$1000,197)="","",INDEX(Fonds!$A$1:$A$1000,197))</f>
      </c>
      <c r="B234" s="23">
        <f>IF($A234="","",INDEX(Fonds!$B$1:$B$1000,197)&amp;"")</f>
      </c>
      <c r="C234" s="23">
        <f>IF($A234="","",INDEX(Fonds!$D$1:$D$1000,197)&amp;"")</f>
      </c>
      <c r="D234" s="25">
        <f>IF($A234="","",INDEX(Fonds!$E$1:$E$1000,197))</f>
      </c>
      <c r="E234" s="25">
        <f>IF($A234="","",SUMIFS(Cashflows!$D$5:$D$5000,Cashflows!$B$5:$B$5000,$A234,Cashflows!$C$5:$C$5000,"Abruf"))</f>
      </c>
      <c r="F234" s="25">
        <f>IF($A234="","",SUMIFS(Cashflows!$D$5:$D$5000,Cashflows!$B$5:$B$5000,$A234,Cashflows!$C$5:$C$5000,"Gebühr außerhalb der Zusage")+SUMIFS(Cashflows!$D$5:$D$5000,Cashflows!$B$5:$B$5000,$A234,Cashflows!$C$5:$C$5000,"Ausgleichszins"))</f>
      </c>
      <c r="G234" s="25">
        <f>IF($A234="","",SUMIFS(Cashflows!$D$5:$D$5000,Cashflows!$B$5:$B$5000,$A234,Cashflows!$C$5:$C$5000,"Ausschüttung"))</f>
      </c>
      <c r="H234" s="25">
        <f>IF($A234="","",SUMIFS(Cashflows!$E$5:$E$5000,Cashflows!$B$5:$B$5000,$A234,Cashflows!$C$5:$C$5000,"Ausschüttung"))</f>
      </c>
      <c r="I234" s="26">
        <f>IF($A234="","",D234-E234+H234)</f>
      </c>
      <c r="J234" s="25">
        <f>IF($A234="","",SUMIFS(Cashflows!$D$5:$D$5000,Cashflows!$B$5:$B$5000,$A234,Cashflows!$G$5:$G$5000,"Angekündigt",Cashflows!$C$5:$C$5000,"&lt;&gt;Ausschüttung"))</f>
      </c>
      <c r="K234" s="27">
        <f>IF($A234="","",IF(COUNTIFS(Cashflows!$B$5:$B$5000,$A234,Cashflows!$G$5:$G$5000,"Angekündigt",Cashflows!$C$5:$C$5000,"&lt;&gt;Ausschüttung",Cashflows!$F$5:$F$5000,"&gt;0")=0,"",MINIFS(Cashflows!$F$5:$F$5000,Cashflows!$B$5:$B$5000,$A234,Cashflows!$G$5:$G$5000,"Angekündigt",Cashflows!$C$5:$C$5000,"&lt;&gt;Ausschüttung",Cashflows!$F$5:$F$5000,"&gt;0")))</f>
      </c>
      <c r="L234" s="25">
        <f>IF($A234="","",I234+J234)</f>
      </c>
    </row>
    <row r="235" spans="1:12" x14ac:dyDescent="0.25">
      <c r="A235" s="23">
        <f>IF(INDEX(Fonds!$A$1:$A$1000,198)="","",INDEX(Fonds!$A$1:$A$1000,198))</f>
      </c>
      <c r="B235" s="23">
        <f>IF($A235="","",INDEX(Fonds!$B$1:$B$1000,198)&amp;"")</f>
      </c>
      <c r="C235" s="23">
        <f>IF($A235="","",INDEX(Fonds!$D$1:$D$1000,198)&amp;"")</f>
      </c>
      <c r="D235" s="25">
        <f>IF($A235="","",INDEX(Fonds!$E$1:$E$1000,198))</f>
      </c>
      <c r="E235" s="25">
        <f>IF($A235="","",SUMIFS(Cashflows!$D$5:$D$5000,Cashflows!$B$5:$B$5000,$A235,Cashflows!$C$5:$C$5000,"Abruf"))</f>
      </c>
      <c r="F235" s="25">
        <f>IF($A235="","",SUMIFS(Cashflows!$D$5:$D$5000,Cashflows!$B$5:$B$5000,$A235,Cashflows!$C$5:$C$5000,"Gebühr außerhalb der Zusage")+SUMIFS(Cashflows!$D$5:$D$5000,Cashflows!$B$5:$B$5000,$A235,Cashflows!$C$5:$C$5000,"Ausgleichszins"))</f>
      </c>
      <c r="G235" s="25">
        <f>IF($A235="","",SUMIFS(Cashflows!$D$5:$D$5000,Cashflows!$B$5:$B$5000,$A235,Cashflows!$C$5:$C$5000,"Ausschüttung"))</f>
      </c>
      <c r="H235" s="25">
        <f>IF($A235="","",SUMIFS(Cashflows!$E$5:$E$5000,Cashflows!$B$5:$B$5000,$A235,Cashflows!$C$5:$C$5000,"Ausschüttung"))</f>
      </c>
      <c r="I235" s="26">
        <f>IF($A235="","",D235-E235+H235)</f>
      </c>
      <c r="J235" s="25">
        <f>IF($A235="","",SUMIFS(Cashflows!$D$5:$D$5000,Cashflows!$B$5:$B$5000,$A235,Cashflows!$G$5:$G$5000,"Angekündigt",Cashflows!$C$5:$C$5000,"&lt;&gt;Ausschüttung"))</f>
      </c>
      <c r="K235" s="27">
        <f>IF($A235="","",IF(COUNTIFS(Cashflows!$B$5:$B$5000,$A235,Cashflows!$G$5:$G$5000,"Angekündigt",Cashflows!$C$5:$C$5000,"&lt;&gt;Ausschüttung",Cashflows!$F$5:$F$5000,"&gt;0")=0,"",MINIFS(Cashflows!$F$5:$F$5000,Cashflows!$B$5:$B$5000,$A235,Cashflows!$G$5:$G$5000,"Angekündigt",Cashflows!$C$5:$C$5000,"&lt;&gt;Ausschüttung",Cashflows!$F$5:$F$5000,"&gt;0")))</f>
      </c>
      <c r="L235" s="25">
        <f>IF($A235="","",I235+J235)</f>
      </c>
    </row>
    <row r="236" spans="1:12" x14ac:dyDescent="0.25">
      <c r="A236" s="23">
        <f>IF(INDEX(Fonds!$A$1:$A$1000,199)="","",INDEX(Fonds!$A$1:$A$1000,199))</f>
      </c>
      <c r="B236" s="23">
        <f>IF($A236="","",INDEX(Fonds!$B$1:$B$1000,199)&amp;"")</f>
      </c>
      <c r="C236" s="23">
        <f>IF($A236="","",INDEX(Fonds!$D$1:$D$1000,199)&amp;"")</f>
      </c>
      <c r="D236" s="25">
        <f>IF($A236="","",INDEX(Fonds!$E$1:$E$1000,199))</f>
      </c>
      <c r="E236" s="25">
        <f>IF($A236="","",SUMIFS(Cashflows!$D$5:$D$5000,Cashflows!$B$5:$B$5000,$A236,Cashflows!$C$5:$C$5000,"Abruf"))</f>
      </c>
      <c r="F236" s="25">
        <f>IF($A236="","",SUMIFS(Cashflows!$D$5:$D$5000,Cashflows!$B$5:$B$5000,$A236,Cashflows!$C$5:$C$5000,"Gebühr außerhalb der Zusage")+SUMIFS(Cashflows!$D$5:$D$5000,Cashflows!$B$5:$B$5000,$A236,Cashflows!$C$5:$C$5000,"Ausgleichszins"))</f>
      </c>
      <c r="G236" s="25">
        <f>IF($A236="","",SUMIFS(Cashflows!$D$5:$D$5000,Cashflows!$B$5:$B$5000,$A236,Cashflows!$C$5:$C$5000,"Ausschüttung"))</f>
      </c>
      <c r="H236" s="25">
        <f>IF($A236="","",SUMIFS(Cashflows!$E$5:$E$5000,Cashflows!$B$5:$B$5000,$A236,Cashflows!$C$5:$C$5000,"Ausschüttung"))</f>
      </c>
      <c r="I236" s="26">
        <f>IF($A236="","",D236-E236+H236)</f>
      </c>
      <c r="J236" s="25">
        <f>IF($A236="","",SUMIFS(Cashflows!$D$5:$D$5000,Cashflows!$B$5:$B$5000,$A236,Cashflows!$G$5:$G$5000,"Angekündigt",Cashflows!$C$5:$C$5000,"&lt;&gt;Ausschüttung"))</f>
      </c>
      <c r="K236" s="27">
        <f>IF($A236="","",IF(COUNTIFS(Cashflows!$B$5:$B$5000,$A236,Cashflows!$G$5:$G$5000,"Angekündigt",Cashflows!$C$5:$C$5000,"&lt;&gt;Ausschüttung",Cashflows!$F$5:$F$5000,"&gt;0")=0,"",MINIFS(Cashflows!$F$5:$F$5000,Cashflows!$B$5:$B$5000,$A236,Cashflows!$G$5:$G$5000,"Angekündigt",Cashflows!$C$5:$C$5000,"&lt;&gt;Ausschüttung",Cashflows!$F$5:$F$5000,"&gt;0")))</f>
      </c>
      <c r="L236" s="25">
        <f>IF($A236="","",I236+J236)</f>
      </c>
    </row>
    <row r="237" spans="1:12" x14ac:dyDescent="0.25">
      <c r="A237" s="23">
        <f>IF(INDEX(Fonds!$A$1:$A$1000,200)="","",INDEX(Fonds!$A$1:$A$1000,200))</f>
      </c>
      <c r="B237" s="23">
        <f>IF($A237="","",INDEX(Fonds!$B$1:$B$1000,200)&amp;"")</f>
      </c>
      <c r="C237" s="23">
        <f>IF($A237="","",INDEX(Fonds!$D$1:$D$1000,200)&amp;"")</f>
      </c>
      <c r="D237" s="25">
        <f>IF($A237="","",INDEX(Fonds!$E$1:$E$1000,200))</f>
      </c>
      <c r="E237" s="25">
        <f>IF($A237="","",SUMIFS(Cashflows!$D$5:$D$5000,Cashflows!$B$5:$B$5000,$A237,Cashflows!$C$5:$C$5000,"Abruf"))</f>
      </c>
      <c r="F237" s="25">
        <f>IF($A237="","",SUMIFS(Cashflows!$D$5:$D$5000,Cashflows!$B$5:$B$5000,$A237,Cashflows!$C$5:$C$5000,"Gebühr außerhalb der Zusage")+SUMIFS(Cashflows!$D$5:$D$5000,Cashflows!$B$5:$B$5000,$A237,Cashflows!$C$5:$C$5000,"Ausgleichszins"))</f>
      </c>
      <c r="G237" s="25">
        <f>IF($A237="","",SUMIFS(Cashflows!$D$5:$D$5000,Cashflows!$B$5:$B$5000,$A237,Cashflows!$C$5:$C$5000,"Ausschüttung"))</f>
      </c>
      <c r="H237" s="25">
        <f>IF($A237="","",SUMIFS(Cashflows!$E$5:$E$5000,Cashflows!$B$5:$B$5000,$A237,Cashflows!$C$5:$C$5000,"Ausschüttung"))</f>
      </c>
      <c r="I237" s="26">
        <f>IF($A237="","",D237-E237+H237)</f>
      </c>
      <c r="J237" s="25">
        <f>IF($A237="","",SUMIFS(Cashflows!$D$5:$D$5000,Cashflows!$B$5:$B$5000,$A237,Cashflows!$G$5:$G$5000,"Angekündigt",Cashflows!$C$5:$C$5000,"&lt;&gt;Ausschüttung"))</f>
      </c>
      <c r="K237" s="27">
        <f>IF($A237="","",IF(COUNTIFS(Cashflows!$B$5:$B$5000,$A237,Cashflows!$G$5:$G$5000,"Angekündigt",Cashflows!$C$5:$C$5000,"&lt;&gt;Ausschüttung",Cashflows!$F$5:$F$5000,"&gt;0")=0,"",MINIFS(Cashflows!$F$5:$F$5000,Cashflows!$B$5:$B$5000,$A237,Cashflows!$G$5:$G$5000,"Angekündigt",Cashflows!$C$5:$C$5000,"&lt;&gt;Ausschüttung",Cashflows!$F$5:$F$5000,"&gt;0")))</f>
      </c>
      <c r="L237" s="25">
        <f>IF($A237="","",I237+J237)</f>
      </c>
    </row>
    <row r="238" spans="1:12" x14ac:dyDescent="0.25">
      <c r="A238" s="23">
        <f>IF(INDEX(Fonds!$A$1:$A$1000,201)="","",INDEX(Fonds!$A$1:$A$1000,201))</f>
      </c>
      <c r="B238" s="23">
        <f>IF($A238="","",INDEX(Fonds!$B$1:$B$1000,201)&amp;"")</f>
      </c>
      <c r="C238" s="23">
        <f>IF($A238="","",INDEX(Fonds!$D$1:$D$1000,201)&amp;"")</f>
      </c>
      <c r="D238" s="25">
        <f>IF($A238="","",INDEX(Fonds!$E$1:$E$1000,201))</f>
      </c>
      <c r="E238" s="25">
        <f>IF($A238="","",SUMIFS(Cashflows!$D$5:$D$5000,Cashflows!$B$5:$B$5000,$A238,Cashflows!$C$5:$C$5000,"Abruf"))</f>
      </c>
      <c r="F238" s="25">
        <f>IF($A238="","",SUMIFS(Cashflows!$D$5:$D$5000,Cashflows!$B$5:$B$5000,$A238,Cashflows!$C$5:$C$5000,"Gebühr außerhalb der Zusage")+SUMIFS(Cashflows!$D$5:$D$5000,Cashflows!$B$5:$B$5000,$A238,Cashflows!$C$5:$C$5000,"Ausgleichszins"))</f>
      </c>
      <c r="G238" s="25">
        <f>IF($A238="","",SUMIFS(Cashflows!$D$5:$D$5000,Cashflows!$B$5:$B$5000,$A238,Cashflows!$C$5:$C$5000,"Ausschüttung"))</f>
      </c>
      <c r="H238" s="25">
        <f>IF($A238="","",SUMIFS(Cashflows!$E$5:$E$5000,Cashflows!$B$5:$B$5000,$A238,Cashflows!$C$5:$C$5000,"Ausschüttung"))</f>
      </c>
      <c r="I238" s="26">
        <f>IF($A238="","",D238-E238+H238)</f>
      </c>
      <c r="J238" s="25">
        <f>IF($A238="","",SUMIFS(Cashflows!$D$5:$D$5000,Cashflows!$B$5:$B$5000,$A238,Cashflows!$G$5:$G$5000,"Angekündigt",Cashflows!$C$5:$C$5000,"&lt;&gt;Ausschüttung"))</f>
      </c>
      <c r="K238" s="27">
        <f>IF($A238="","",IF(COUNTIFS(Cashflows!$B$5:$B$5000,$A238,Cashflows!$G$5:$G$5000,"Angekündigt",Cashflows!$C$5:$C$5000,"&lt;&gt;Ausschüttung",Cashflows!$F$5:$F$5000,"&gt;0")=0,"",MINIFS(Cashflows!$F$5:$F$5000,Cashflows!$B$5:$B$5000,$A238,Cashflows!$G$5:$G$5000,"Angekündigt",Cashflows!$C$5:$C$5000,"&lt;&gt;Ausschüttung",Cashflows!$F$5:$F$5000,"&gt;0")))</f>
      </c>
      <c r="L238" s="25">
        <f>IF($A238="","",I238+J238)</f>
      </c>
    </row>
    <row r="239" spans="1:12" x14ac:dyDescent="0.25">
      <c r="A239" s="23">
        <f>IF(INDEX(Fonds!$A$1:$A$1000,202)="","",INDEX(Fonds!$A$1:$A$1000,202))</f>
      </c>
      <c r="B239" s="23">
        <f>IF($A239="","",INDEX(Fonds!$B$1:$B$1000,202)&amp;"")</f>
      </c>
      <c r="C239" s="23">
        <f>IF($A239="","",INDEX(Fonds!$D$1:$D$1000,202)&amp;"")</f>
      </c>
      <c r="D239" s="25">
        <f>IF($A239="","",INDEX(Fonds!$E$1:$E$1000,202))</f>
      </c>
      <c r="E239" s="25">
        <f>IF($A239="","",SUMIFS(Cashflows!$D$5:$D$5000,Cashflows!$B$5:$B$5000,$A239,Cashflows!$C$5:$C$5000,"Abruf"))</f>
      </c>
      <c r="F239" s="25">
        <f>IF($A239="","",SUMIFS(Cashflows!$D$5:$D$5000,Cashflows!$B$5:$B$5000,$A239,Cashflows!$C$5:$C$5000,"Gebühr außerhalb der Zusage")+SUMIFS(Cashflows!$D$5:$D$5000,Cashflows!$B$5:$B$5000,$A239,Cashflows!$C$5:$C$5000,"Ausgleichszins"))</f>
      </c>
      <c r="G239" s="25">
        <f>IF($A239="","",SUMIFS(Cashflows!$D$5:$D$5000,Cashflows!$B$5:$B$5000,$A239,Cashflows!$C$5:$C$5000,"Ausschüttung"))</f>
      </c>
      <c r="H239" s="25">
        <f>IF($A239="","",SUMIFS(Cashflows!$E$5:$E$5000,Cashflows!$B$5:$B$5000,$A239,Cashflows!$C$5:$C$5000,"Ausschüttung"))</f>
      </c>
      <c r="I239" s="26">
        <f>IF($A239="","",D239-E239+H239)</f>
      </c>
      <c r="J239" s="25">
        <f>IF($A239="","",SUMIFS(Cashflows!$D$5:$D$5000,Cashflows!$B$5:$B$5000,$A239,Cashflows!$G$5:$G$5000,"Angekündigt",Cashflows!$C$5:$C$5000,"&lt;&gt;Ausschüttung"))</f>
      </c>
      <c r="K239" s="27">
        <f>IF($A239="","",IF(COUNTIFS(Cashflows!$B$5:$B$5000,$A239,Cashflows!$G$5:$G$5000,"Angekündigt",Cashflows!$C$5:$C$5000,"&lt;&gt;Ausschüttung",Cashflows!$F$5:$F$5000,"&gt;0")=0,"",MINIFS(Cashflows!$F$5:$F$5000,Cashflows!$B$5:$B$5000,$A239,Cashflows!$G$5:$G$5000,"Angekündigt",Cashflows!$C$5:$C$5000,"&lt;&gt;Ausschüttung",Cashflows!$F$5:$F$5000,"&gt;0")))</f>
      </c>
      <c r="L239" s="25">
        <f>IF($A239="","",I239+J239)</f>
      </c>
    </row>
    <row r="240" spans="1:12" x14ac:dyDescent="0.25">
      <c r="A240" s="23">
        <f>IF(INDEX(Fonds!$A$1:$A$1000,203)="","",INDEX(Fonds!$A$1:$A$1000,203))</f>
      </c>
      <c r="B240" s="23">
        <f>IF($A240="","",INDEX(Fonds!$B$1:$B$1000,203)&amp;"")</f>
      </c>
      <c r="C240" s="23">
        <f>IF($A240="","",INDEX(Fonds!$D$1:$D$1000,203)&amp;"")</f>
      </c>
      <c r="D240" s="25">
        <f>IF($A240="","",INDEX(Fonds!$E$1:$E$1000,203))</f>
      </c>
      <c r="E240" s="25">
        <f>IF($A240="","",SUMIFS(Cashflows!$D$5:$D$5000,Cashflows!$B$5:$B$5000,$A240,Cashflows!$C$5:$C$5000,"Abruf"))</f>
      </c>
      <c r="F240" s="25">
        <f>IF($A240="","",SUMIFS(Cashflows!$D$5:$D$5000,Cashflows!$B$5:$B$5000,$A240,Cashflows!$C$5:$C$5000,"Gebühr außerhalb der Zusage")+SUMIFS(Cashflows!$D$5:$D$5000,Cashflows!$B$5:$B$5000,$A240,Cashflows!$C$5:$C$5000,"Ausgleichszins"))</f>
      </c>
      <c r="G240" s="25">
        <f>IF($A240="","",SUMIFS(Cashflows!$D$5:$D$5000,Cashflows!$B$5:$B$5000,$A240,Cashflows!$C$5:$C$5000,"Ausschüttung"))</f>
      </c>
      <c r="H240" s="25">
        <f>IF($A240="","",SUMIFS(Cashflows!$E$5:$E$5000,Cashflows!$B$5:$B$5000,$A240,Cashflows!$C$5:$C$5000,"Ausschüttung"))</f>
      </c>
      <c r="I240" s="26">
        <f>IF($A240="","",D240-E240+H240)</f>
      </c>
      <c r="J240" s="25">
        <f>IF($A240="","",SUMIFS(Cashflows!$D$5:$D$5000,Cashflows!$B$5:$B$5000,$A240,Cashflows!$G$5:$G$5000,"Angekündigt",Cashflows!$C$5:$C$5000,"&lt;&gt;Ausschüttung"))</f>
      </c>
      <c r="K240" s="27">
        <f>IF($A240="","",IF(COUNTIFS(Cashflows!$B$5:$B$5000,$A240,Cashflows!$G$5:$G$5000,"Angekündigt",Cashflows!$C$5:$C$5000,"&lt;&gt;Ausschüttung",Cashflows!$F$5:$F$5000,"&gt;0")=0,"",MINIFS(Cashflows!$F$5:$F$5000,Cashflows!$B$5:$B$5000,$A240,Cashflows!$G$5:$G$5000,"Angekündigt",Cashflows!$C$5:$C$5000,"&lt;&gt;Ausschüttung",Cashflows!$F$5:$F$5000,"&gt;0")))</f>
      </c>
      <c r="L240" s="25">
        <f>IF($A240="","",I240+J240)</f>
      </c>
    </row>
    <row r="241" spans="1:12" x14ac:dyDescent="0.25">
      <c r="A241" s="23">
        <f>IF(INDEX(Fonds!$A$1:$A$1000,204)="","",INDEX(Fonds!$A$1:$A$1000,204))</f>
      </c>
      <c r="B241" s="23">
        <f>IF($A241="","",INDEX(Fonds!$B$1:$B$1000,204)&amp;"")</f>
      </c>
      <c r="C241" s="23">
        <f>IF($A241="","",INDEX(Fonds!$D$1:$D$1000,204)&amp;"")</f>
      </c>
      <c r="D241" s="25">
        <f>IF($A241="","",INDEX(Fonds!$E$1:$E$1000,204))</f>
      </c>
      <c r="E241" s="25">
        <f>IF($A241="","",SUMIFS(Cashflows!$D$5:$D$5000,Cashflows!$B$5:$B$5000,$A241,Cashflows!$C$5:$C$5000,"Abruf"))</f>
      </c>
      <c r="F241" s="25">
        <f>IF($A241="","",SUMIFS(Cashflows!$D$5:$D$5000,Cashflows!$B$5:$B$5000,$A241,Cashflows!$C$5:$C$5000,"Gebühr außerhalb der Zusage")+SUMIFS(Cashflows!$D$5:$D$5000,Cashflows!$B$5:$B$5000,$A241,Cashflows!$C$5:$C$5000,"Ausgleichszins"))</f>
      </c>
      <c r="G241" s="25">
        <f>IF($A241="","",SUMIFS(Cashflows!$D$5:$D$5000,Cashflows!$B$5:$B$5000,$A241,Cashflows!$C$5:$C$5000,"Ausschüttung"))</f>
      </c>
      <c r="H241" s="25">
        <f>IF($A241="","",SUMIFS(Cashflows!$E$5:$E$5000,Cashflows!$B$5:$B$5000,$A241,Cashflows!$C$5:$C$5000,"Ausschüttung"))</f>
      </c>
      <c r="I241" s="26">
        <f>IF($A241="","",D241-E241+H241)</f>
      </c>
      <c r="J241" s="25">
        <f>IF($A241="","",SUMIFS(Cashflows!$D$5:$D$5000,Cashflows!$B$5:$B$5000,$A241,Cashflows!$G$5:$G$5000,"Angekündigt",Cashflows!$C$5:$C$5000,"&lt;&gt;Ausschüttung"))</f>
      </c>
      <c r="K241" s="27">
        <f>IF($A241="","",IF(COUNTIFS(Cashflows!$B$5:$B$5000,$A241,Cashflows!$G$5:$G$5000,"Angekündigt",Cashflows!$C$5:$C$5000,"&lt;&gt;Ausschüttung",Cashflows!$F$5:$F$5000,"&gt;0")=0,"",MINIFS(Cashflows!$F$5:$F$5000,Cashflows!$B$5:$B$5000,$A241,Cashflows!$G$5:$G$5000,"Angekündigt",Cashflows!$C$5:$C$5000,"&lt;&gt;Ausschüttung",Cashflows!$F$5:$F$5000,"&gt;0")))</f>
      </c>
      <c r="L241" s="25">
        <f>IF($A241="","",I241+J241)</f>
      </c>
    </row>
  </sheetData>
  <conditionalFormatting sqref="I42:I241">
    <cfRule type="expression" dxfId="2" priority="3">
      <formula>AND(ISNUMBER(I42),I42&lt;0)</formula>
    </cfRule>
  </conditionalFormatting>
  <conditionalFormatting sqref="I6:I11">
    <cfRule type="expression" dxfId="3" priority="3">
      <formula>AND(ISNUMBER(I6),I6&lt;0)</formula>
    </cfRule>
  </conditionalFormatting>
  <conditionalFormatting sqref="I17:I36">
    <cfRule type="expression" dxfId="4" priority="3">
      <formula>AND(ISNUMBER(I17),I17&lt;0)</formula>
    </cfRule>
  </conditionalFormatting>
  <conditionalFormatting sqref="K42:K241">
    <cfRule type="expression" dxfId="5" priority="4">
      <formula>AND(ISNUMBER(K42),K42&lt;TODAY())</formula>
    </cfRule>
  </conditionalFormatting>
  <conditionalFormatting sqref="K6:K11">
    <cfRule type="expression" dxfId="6" priority="4">
      <formula>AND(ISNUMBER(K6),K6&lt;TODAY())</formula>
    </cfRule>
  </conditionalFormatting>
  <conditionalFormatting sqref="K17:K36">
    <cfRule type="expression" dxfId="7" priority="4">
      <formula>AND(ISNUMBER(K17),K17&lt;TODAY())</formula>
    </cfRule>
  </conditionalFormatting>
  <dataValidations count="1">
    <dataValidation type="list" allowBlank="1" showErrorMessage="1" errorStyle="warning" errorTitle="Währung" error="Nicht in der Liste. Eigene Währungscodes sind erlaubt." sqref="B17:B36">
      <formula1>"EUR,USD,GBP,CHF"</formula1>
    </dataValidation>
  </dataValidations>
  <pageSetup paperSize="9"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Anleitung</vt:lpstr>
      <vt:lpstr>Fonds</vt:lpstr>
      <vt:lpstr>Cashflows</vt:lpstr>
      <vt:lpstr>Übersicht</vt:lpstr>
    </vt:vector>
  </TitlesOfParts>
  <Company>Zahlenwerk</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Zahlenwerk</dc:creator>
  <dc:title>Kapitalabruf-Tracker – Vorlage</dc:title>
  <dc:subject/>
  <dc:description/>
  <cp:keywords/>
  <cp:category/>
  <cp:lastModifiedBy>Zahlenwerk</cp:lastModifiedBy>
  <dcterms:created xsi:type="dcterms:W3CDTF">2026-10-16T00:00:00Z</dcterms:created>
  <dcterms:modified xsi:type="dcterms:W3CDTF">2026-10-16T00:00:00Z</dcterms:modified>
</cp:coreProperties>
</file>